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<sst xmlns="http://schemas.openxmlformats.org/spreadsheetml/2006/main" count="1603" uniqueCount="440">
  <si>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</si>
  <si>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</si>
  <si>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</si>
  <si>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</si>
  <si>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</si>
  <si>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</si>
  <si>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</si>
  <si>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</si>
  <si>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</si>
  <si>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</si>
  <si>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</si>
  <si>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</si>
  <si>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</si>
  <si>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</si>
  <si>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</si>
  <si>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</si>
  <si>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</si>
  <si>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</si>
  <si>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</si>
  <si>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</si>
  <si>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</si>
  <si>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</si>
  <si>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</si>
  <si>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</si>
  <si>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</si>
  <si>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</si>
  <si>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</si>
  <si>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</si>
  <si>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</si>
  <si>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</si>
  <si>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</si>
  <si>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</si>
  <si>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</si>
  <si>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</si>
  <si>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</si>
  <si>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</si>
  <si>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</si>
  <si>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</si>
  <si>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</si>
  <si>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</si>
  <si>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</si>
  <si>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</si>
  <si>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</si>
  <si>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</si>
  <si>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</si>
  <si>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</si>
  <si>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</si>
  <si>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</si>
  <si>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</si>
  <si>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</si>
  <si>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</si>
  <si>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</si>
  <si>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</si>
  <si>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</si>
  <si>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</si>
  <si>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</si>
  <si>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109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</si>
  <si>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</si>
  <si>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</si>
  <si>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</si>
  <si>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</si>
  <si>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</si>
  <si>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</si>
  <si>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</si>
  <si>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Úklidové práce</t>
  </si>
  <si>
    <t>Celkem ORN</t>
  </si>
  <si>
    <t>Vedlejší a ostatní rozpočtové náklady</t>
  </si>
  <si>
    <t>Kč</t>
  </si>
  <si>
    <t>%</t>
  </si>
  <si>
    <t>Základna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</si>
  <si>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</si>
  <si>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</si>
  <si>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</si>
  <si>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</si>
  <si>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</si>
  <si>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</si>
  <si>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</si>
  <si>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</si>
  <si>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</si>
  <si>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</si>
  <si>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</si>
  <si>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</si>
  <si>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</si>
  <si>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</si>
  <si>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</si>
  <si>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</si>
  <si>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</si>
  <si>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</si>
  <si>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</si>
  <si>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</si>
  <si>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</si>
  <si>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</si>
  <si>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</si>
  <si>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</si>
  <si>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</si>
  <si>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</si>
  <si>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</si>
  <si>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</si>
  <si>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</si>
  <si>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</si>
  <si>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</si>
  <si>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</si>
  <si>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</si>
  <si>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</si>
  <si>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</si>
  <si>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</si>
  <si>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</si>
  <si>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</si>
  <si>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</si>
  <si>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</si>
  <si>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</si>
  <si>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</si>
  <si>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</si>
  <si>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</si>
  <si>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</si>
  <si>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</si>
  <si>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</si>
  <si>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</si>
  <si>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</si>
  <si>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</si>
  <si>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</si>
  <si>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</si>
  <si>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</si>
  <si>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</si>
  <si>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</si>
  <si>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</si>
  <si>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</si>
  <si>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</si>
  <si>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</si>
  <si>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</si>
  <si>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</si>
  <si>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</si>
  <si>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</si>
  <si>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</si>
  <si>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</si>
  <si>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</si>
  <si>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</si>
  <si>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</si>
  <si>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</si>
  <si>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</si>
  <si>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</si>
  <si>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</si>
  <si>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</si>
  <si>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</si>
  <si>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</si>
  <si>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</si>
  <si>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</si>
  <si>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</si>
  <si>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</si>
  <si>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</si>
  <si>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</si>
  <si>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</si>
  <si>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</si>
  <si>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</si>
  <si>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</si>
  <si>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</si>
  <si>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</si>
  <si>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</si>
  <si>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</si>
  <si>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</si>
  <si>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</si>
  <si>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</si>
  <si>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</si>
  <si>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</si>
  <si>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</si>
  <si>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</si>
  <si>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</si>
  <si>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</si>
  <si>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</si>
  <si>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</si>
  <si>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</si>
  <si>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</si>
  <si>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</si>
  <si>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</si>
  <si>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</si>
  <si>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</si>
  <si>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</si>
  <si>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</si>
  <si>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</si>
  <si>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</si>
  <si>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</si>
  <si>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Kód</t>
  </si>
  <si>
    <t>01</t>
  </si>
  <si>
    <t>113106121R00</t>
  </si>
  <si>
    <t>RTS komentář:</t>
  </si>
  <si>
    <t>979054441R00</t>
  </si>
  <si>
    <t>Varianta:</t>
  </si>
  <si>
    <t>120901101R00</t>
  </si>
  <si>
    <t>711140202R00</t>
  </si>
  <si>
    <t>970241100R00</t>
  </si>
  <si>
    <t>965042221RT2</t>
  </si>
  <si>
    <t>970251200R00</t>
  </si>
  <si>
    <t>960321271R00</t>
  </si>
  <si>
    <t>460030081RT2</t>
  </si>
  <si>
    <t>460030072RT1</t>
  </si>
  <si>
    <t>289902111R00</t>
  </si>
  <si>
    <t>216904391R00</t>
  </si>
  <si>
    <t>114203101RXX</t>
  </si>
  <si>
    <t>139601102R00</t>
  </si>
  <si>
    <t>174101102R00</t>
  </si>
  <si>
    <t>212810010RAC</t>
  </si>
  <si>
    <t>457311114R00</t>
  </si>
  <si>
    <t>212971110R00</t>
  </si>
  <si>
    <t>894432112R00</t>
  </si>
  <si>
    <t>RLP001</t>
  </si>
  <si>
    <t>300200010RA0</t>
  </si>
  <si>
    <t>181101111R00</t>
  </si>
  <si>
    <t>564851111RT4</t>
  </si>
  <si>
    <t>596215021R00</t>
  </si>
  <si>
    <t>596811111RT4</t>
  </si>
  <si>
    <t>916561111RT2</t>
  </si>
  <si>
    <t>581114115R00</t>
  </si>
  <si>
    <t>380932215R00</t>
  </si>
  <si>
    <t>380320040RAB</t>
  </si>
  <si>
    <t>181300010RA0</t>
  </si>
  <si>
    <t>180400020RA0</t>
  </si>
  <si>
    <t>711</t>
  </si>
  <si>
    <t>RLP003</t>
  </si>
  <si>
    <t>001LPVD</t>
  </si>
  <si>
    <t>711212015R00</t>
  </si>
  <si>
    <t>622311510R00</t>
  </si>
  <si>
    <t>210021521R00</t>
  </si>
  <si>
    <t>998711101R00</t>
  </si>
  <si>
    <t>RLP011</t>
  </si>
  <si>
    <t>RLP012</t>
  </si>
  <si>
    <t>602011174R00</t>
  </si>
  <si>
    <t>622491142R00</t>
  </si>
  <si>
    <t>620401162R00</t>
  </si>
  <si>
    <t>781775011RT3</t>
  </si>
  <si>
    <t>892855111R00</t>
  </si>
  <si>
    <t>721242117R00</t>
  </si>
  <si>
    <t>831350012RA0</t>
  </si>
  <si>
    <t>909      R00</t>
  </si>
  <si>
    <t>S</t>
  </si>
  <si>
    <t>162201203R00</t>
  </si>
  <si>
    <t>999281145R00</t>
  </si>
  <si>
    <t>979082111R00</t>
  </si>
  <si>
    <t>979100012RA0</t>
  </si>
  <si>
    <t>979990107R00</t>
  </si>
  <si>
    <t>979990121R00</t>
  </si>
  <si>
    <t>767914830R00</t>
  </si>
  <si>
    <t>460080101R00</t>
  </si>
  <si>
    <t>275310020RA0</t>
  </si>
  <si>
    <t>Stadion Srbská Brno - budovy hygienického zázemí</t>
  </si>
  <si>
    <t>oprava svislé hydroizolace</t>
  </si>
  <si>
    <t>ul. Srbská, Brno</t>
  </si>
  <si>
    <t>Zkrácený popis / Varianta</t>
  </si>
  <si>
    <t>Rozměry</t>
  </si>
  <si>
    <t>JIŽNÍ BUDOVA</t>
  </si>
  <si>
    <t>Bourací a přípravné práce</t>
  </si>
  <si>
    <t>Rozebrání dlažeb z betonových dlaždic na sucho</t>
  </si>
  <si>
    <t>Položka není určena pro rozebrání dlažeb uložených do betonového lože a pro rozebrání dlažeb z mozaiky uložených do cementové malty. V položce nejsou zakalkulovány náklady na popř. nutné očištění vybouraných betonových dlaždic</t>
  </si>
  <si>
    <t>Očištění vybour. dlaždic s výplní kamen. těženým</t>
  </si>
  <si>
    <t>Včetně uložení k opětovnému zadláždění</t>
  </si>
  <si>
    <t>Bourání konstrukcí cihelných na MV v odkopávkách</t>
  </si>
  <si>
    <t>izolační přizdívka</t>
  </si>
  <si>
    <t>Položka neobsahuje svislou ani vodorovnou přepravu vybouraného materiálu, ani uložení a poplatek za skládku. Položky jsou určeny pouze pro bourání konstrukcí ze zdiva nebo z betonu ve výkopišti při provádění zemních prací oři obklopení horninou nebo sypaninou tak, že k nim není bez vykopávky přístup. Objem vybouraného materiálu pro přemístění se rovná objemu konstrukcí před rozbouráním</t>
  </si>
  <si>
    <t>Odstr.izolace proti vlhk.svis. pásy přitav.,2vrs</t>
  </si>
  <si>
    <t>Řezání prostého betonu hl. řezu 100 mm</t>
  </si>
  <si>
    <t>odříznutí betonového povrchu pro odbourání</t>
  </si>
  <si>
    <t>Bourání mazanin betonových tl. nad 10 cm, pl. 1 m2</t>
  </si>
  <si>
    <t>ručně tl. mazaniny 15 - 20 cm</t>
  </si>
  <si>
    <t>V položce není kalkulována manipulace se sutí, která se oceňuje samostatně položkami souboru 979. V položce nejsou zakalkulovány náklady na bourání podkladního lože pod mazaninou. Položka se používá pro bourání podlah z betonu prostého nebo litého asfaltu. Bourání případné výztuže v mazaninách se oceňuje položkami souboru 965 04 91.. Příplatek za bourání mazanin s výztuží.</t>
  </si>
  <si>
    <t>Řezání železobetonu hl. řezu 200 mm</t>
  </si>
  <si>
    <t>odříznutí konstrukce schodiště podél štítové zdi</t>
  </si>
  <si>
    <t>Bourání konstrukcí ze železobetonu</t>
  </si>
  <si>
    <t>odbourání části schodiště podél štítové zdi</t>
  </si>
  <si>
    <t>Řezání spáry v asfaltu nebo betonu</t>
  </si>
  <si>
    <t>odříznutí krytu z litého asfaltu
v tloušťce vrstvy do 5-8 cm</t>
  </si>
  <si>
    <t>Bourání živičných povrchů tl. vrstvy 5 - 10 cm</t>
  </si>
  <si>
    <t>odbourání krytu z litého asfaltu</t>
  </si>
  <si>
    <t>Otlučení nebo odsekání omítek stěn</t>
  </si>
  <si>
    <t>- vyrovnávací omítka pod svislou HI
- fasáda zadní zdi</t>
  </si>
  <si>
    <t>Příplatek za ruční dočištění ocelovými kartáči</t>
  </si>
  <si>
    <t>V položce jsou zakalkulovány i náklady na dodání všech hmot.</t>
  </si>
  <si>
    <t>Rozebrání zdi z tvarovek skládaných na sucho</t>
  </si>
  <si>
    <t>s očištěním zdících prvků a jejich uložením pro opětovné suché dozdění</t>
  </si>
  <si>
    <t>Zemní práce</t>
  </si>
  <si>
    <t>Ruční výkop jam, rýh a šachet v hornině tř. 3</t>
  </si>
  <si>
    <t>Zásyp ruční se zhutněním</t>
  </si>
  <si>
    <t>Položka obsahuje přemístění materiálu pro zásyp ze vzdálenosti do 15 m od hrany zasypávaného prostoru - bez použití strojů. Položka je určena pro sypané konstrukce vyplňující prostor pod úrovní terénu v prostorách, kde není možné použít těžkou mechanizaci</t>
  </si>
  <si>
    <t>Odvodnění zdiva</t>
  </si>
  <si>
    <t>Trativody z PVC drenážních flexibilních trubek</t>
  </si>
  <si>
    <t>lože štěrkopísek a obsyp kamenivo, trubky d 100 mm</t>
  </si>
  <si>
    <t>Vyrovnávací beton výplňový nebo spádový C 8/10</t>
  </si>
  <si>
    <t>Opláštění trativodů z geotext., do sklonu 1:2,5</t>
  </si>
  <si>
    <t>Včetně dodávky geotextilie</t>
  </si>
  <si>
    <t>Osazení plastové šachty revizní prům.425 mm</t>
  </si>
  <si>
    <t>Revizní šachta drenáže - materiál</t>
  </si>
  <si>
    <t>RF000320</t>
  </si>
  <si>
    <t>Svislé a kompletní konstrukce</t>
  </si>
  <si>
    <t>Zeď opěrná z prefabrikátů, výška 1,5 m</t>
  </si>
  <si>
    <t>zpětné vyskládání původních bet. dílců obloukové opěrné zídky</t>
  </si>
  <si>
    <t>Povrch terénu exteriér</t>
  </si>
  <si>
    <t>Úprava pláně v zářezech se zhutněním - ručně</t>
  </si>
  <si>
    <t>Podklad ze štěrkodrti po zhutnění tloušťky 10 cm</t>
  </si>
  <si>
    <t>štěrkodrť frakce 16-32 mm
- pod dlažbou - okapový chodník
- pod překládanou dlažbu 30%
- pod zepvnění terénu po výkopech (beton)
- pod dobetonávku schodiště</t>
  </si>
  <si>
    <t>Kladení betonové dlažby tl. 6 cm do drtě tl. 4 cm</t>
  </si>
  <si>
    <t>zadláždění před vchody stávající dlažbou, včetně kladecí drti</t>
  </si>
  <si>
    <t>Kladení dlaždic kom.pro pěší, lože z kameniva těž.</t>
  </si>
  <si>
    <t>okapový chodník
včetně dlaždic betonových HBB 50/50/5 cm</t>
  </si>
  <si>
    <t>Osazení záhon.obrubníků do lože z C 12/15 s opěrou</t>
  </si>
  <si>
    <t>včetně obrubníku   50/5/20 cm</t>
  </si>
  <si>
    <t>Kryt z betonu komunikací pro pěší tloušťky 12 cm</t>
  </si>
  <si>
    <t>dobetonávka zpevnění terénu po výkopech</t>
  </si>
  <si>
    <t>Položka není určena pro cementobetonové kryty vyztužené, které se oceňují podle idividualní specifikace. V položce nejsou zakalkulovány náklady na popřípadě projektem předepsané :  a) živičné postřiky, nátěry nebo mezivrstvy, které se oceňují položkami soudorů stavebního dílu 57 Kryty pozemních komunikací,  b) vložky z lepenky, které se oceňují položkami souboru 919 7.- Vložka pod lítý asfalt,  c) provedení dilatačních spár řezených a vkládaných, které se oceňují položkami souboru 919 72- Dilatační spáry vkládané,  d) postřiky povrchu ochrannou emulzí, které se oceňují položkou 919 74-8111 Postřik popřípadě zdrsnění krytu nebo podkladu ochrannou emulzí,  e) ošetření povrchu betonového krytu vodou, které se oceňují položkou 919 74-1111 Ošetření cementobetonové plochy vodou.</t>
  </si>
  <si>
    <t>Výztuž D 12, vlepená do betonu, malta 2složk epoxi</t>
  </si>
  <si>
    <t>spřažení dobetonávky schodiště s původní konstrukcí</t>
  </si>
  <si>
    <t>Položka obsahuje vyvrtání otvoru průměru 14 mm a hloubky 600 mm, dvojnásobné vyfouknutí prachu z otvoru, dvojnásobné protažení kartáčkem, opět dvojnásobné vyfouknutí, vyplnění otvoru chemickou maltou do 2/3 hloubky otvoru a zasunutí betonářské oceli D 8 mm. Včetně dodávky chemické malty a výztuže. Dovolené namáhání v tahu Nperm,s, v betonu C20/25, je 35,1 kN</t>
  </si>
  <si>
    <t>Kompletní konstrukce ze železobetonu C 25/30</t>
  </si>
  <si>
    <t>dobetonování konstrukce schodiště
- bednění a odbednění, výztuž 120 kg/m3</t>
  </si>
  <si>
    <t>Rozprostření ornice v rovině tloušťka 15 cm</t>
  </si>
  <si>
    <t>Založení trávníku parkového, rovina, dodání osiva</t>
  </si>
  <si>
    <t>Založení trávníku v rovině nebo ve svahu  do 1 : 5, doporučená spotřeba 3 dkg/m2. V položce jsou zakalkulovány náklady na první pokosení, naložení odpadu a odvezení do 20 km, se složením. V položce nejsou zakalkulovány náklady na vypletí a zalévání</t>
  </si>
  <si>
    <t>Izolace proti vodě</t>
  </si>
  <si>
    <t>Vyrovnávací vrstva z cementové malty se síranovzdornou složkou tl. 15 mm</t>
  </si>
  <si>
    <t>podrovnání pod svislou HI, ResiBond RM</t>
  </si>
  <si>
    <t>Liniový detail propojení hydroizolací</t>
  </si>
  <si>
    <t>otevření a vyčištění spáry vodorovné hydroizolace, utěsnění a provedení fabionu</t>
  </si>
  <si>
    <t>Stěrka hydroizolační cementová pružná</t>
  </si>
  <si>
    <t>Elastik 2CX</t>
  </si>
  <si>
    <t>Pružná cementová stěrka tl. 3 mm ve třech vrstvách. Aplikace pomocí hladítka. Položka je určena pro izolaci proti stojaté prosakující vody a tlakové vodě.  Položka obsahuje penetraci podkladu z naředěné stěrkové hmoty vodou, 3 vrstvy stěrky.</t>
  </si>
  <si>
    <t>Izolace suterénu XPS tl. 50 mm, bez PÚ</t>
  </si>
  <si>
    <t>V položce jsou zakalkulovány náklady na montáž a dodávku desek z extrudovaného polystyrenu. Bez povrchové úpravy. Součinitel tepelné vodivosti izolantu 0,035 W/mK</t>
  </si>
  <si>
    <t>Těsnění vodorovného prostupu</t>
  </si>
  <si>
    <t>utěsnění prostupů instalací v izolovaném zdivu pod úrovní terénu
- předpoklad 2ks</t>
  </si>
  <si>
    <t>Přesun hmot pro izolace proti vodě, výšky do 6 m</t>
  </si>
  <si>
    <t>Úprava povrchů vnější</t>
  </si>
  <si>
    <t>Omítka sanační podkladní, ručně</t>
  </si>
  <si>
    <t>tloušťka vrstvy do 20mm
např. Sanaxní omítka</t>
  </si>
  <si>
    <t>Omítka ze suché směsi s tekutou přísadou. Položka je kalkulována jako jedna z vrstev omítkové skladby. Položky za jednotlivé požadované vrstvy se sčítají.</t>
  </si>
  <si>
    <t>Omítka sanační, ručně</t>
  </si>
  <si>
    <t>tloušťka vrstvy 20 mm
např. Sanaxní omítka</t>
  </si>
  <si>
    <t>Omítka ze suché směsi, s provzdušňující přísadou. Položka je kalkulována jako jedna z vrstev omítkové skladby. Položky za jednotlivé požadované vrstvy se sčítají.</t>
  </si>
  <si>
    <t>Štuk na stěnách venkovní, tl. 3 mm, ručně</t>
  </si>
  <si>
    <t>např. SanaBond Štuk</t>
  </si>
  <si>
    <t>Fasádní nátěr</t>
  </si>
  <si>
    <t>- vhodný na sanační omítky
- odstín dle výběru investora
Např. SanaCote SK</t>
  </si>
  <si>
    <t>Nátěr hydrofobizační fasádní</t>
  </si>
  <si>
    <t>dodatečná hydrofobizace soklové části fasády do výšky 1,0m
ResiCote HK</t>
  </si>
  <si>
    <t>Pro hydrofobizaci minerálních stavebních materiálů, na fasády, betonové konstrukce, minerální omítky, přírodní kámen, lícové cihly, vápenopískové cihly, sádrokarton a minerální barvy.  Položka obsahuje nanesení nátěru ve dvou vrstvách. Bez nákladů na lešení</t>
  </si>
  <si>
    <t>Obklad vnější keram.hladký, 300x300, 400x300, tmel</t>
  </si>
  <si>
    <t>- obkald soklu  do výšky 30cm v obdodbném vzhledu jako na východní fasádě</t>
  </si>
  <si>
    <t>Spotřeba lepidla pro zubovou stěrku 6 mm, spotřeba spárovací hmoty pro spáru šířky 8, výšky 10 mm</t>
  </si>
  <si>
    <t>Kanalizace</t>
  </si>
  <si>
    <t>Kontrola kanalizace TV kamerou do 15 m</t>
  </si>
  <si>
    <t>Lapač střešních splavenin  - výměna (revize, oprava)</t>
  </si>
  <si>
    <t>vyčištění a zpětné osazení stávajících lapačů, případně dodávka a montáž nových</t>
  </si>
  <si>
    <t>Kanalizace z trub PVC hrdlových D 160 mm</t>
  </si>
  <si>
    <t xml:space="preserve">napojení drenáže do vpusti v prostoru tribuny
</t>
  </si>
  <si>
    <t>V položce je zakalkulováno: 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 V položce není kalkulován poplatek za skládku zeminy. Tyto náklady se oceňují individuálně podle místních podmínek.</t>
  </si>
  <si>
    <t>Hodinové zúčtovací sazby (HZS)</t>
  </si>
  <si>
    <t>Hzs-nezmeritelne stavebni prace</t>
  </si>
  <si>
    <t>demontáže a zpětné montáže prvků na fasádě (osvětlení, svody atd.)</t>
  </si>
  <si>
    <t>Přemístění a přesuny suti, hmot a zemin, skládky</t>
  </si>
  <si>
    <t>Vodorovné přemíst.výkopku, kolečko hor.1-4</t>
  </si>
  <si>
    <t>Přesun hmot pro opravy a údržbu do v. 6 m, nošením</t>
  </si>
  <si>
    <t>Vnitrostaveništní doprava suti do 10 m</t>
  </si>
  <si>
    <t>Včetně případného složení na staveništní deponii</t>
  </si>
  <si>
    <t>Odvoz suti a vyb.hmot do 15 km, vnitrost. 25 m</t>
  </si>
  <si>
    <t>Poplatek za skládku suti</t>
  </si>
  <si>
    <t>Poplatek za skládku suti - asfaltové pásy</t>
  </si>
  <si>
    <t>SEVERNÍ BUDOVA</t>
  </si>
  <si>
    <t>Demontáž a zpětná montáž oplocení rámového H do 2 m</t>
  </si>
  <si>
    <t>rozebrání oplocení a zpětná montáž na nový základ</t>
  </si>
  <si>
    <t>Rozbourání betonového základu</t>
  </si>
  <si>
    <t>vybourání základu oplocení</t>
  </si>
  <si>
    <t>Základová patka z betonu C 12/15, včetně bednění</t>
  </si>
  <si>
    <t>nová základová patka oplocení</t>
  </si>
  <si>
    <t>štěrkodrť frakce 16-32 mm
- pod dlažbou - okapový chodník
- pod překládanou dlažbu 30%
- pod zepvnění terénu po výkopech (beton)
- pod dobetonávku</t>
  </si>
  <si>
    <t>Doba výstavby:</t>
  </si>
  <si>
    <t>Zpracováno dne:</t>
  </si>
  <si>
    <t>121 dní</t>
  </si>
  <si>
    <t>01.02.2023</t>
  </si>
  <si>
    <t>01.06.2023</t>
  </si>
  <si>
    <t>08.11.2022</t>
  </si>
  <si>
    <t> </t>
  </si>
  <si>
    <t>SAREP PROJEKTY s.r.o.</t>
  </si>
  <si>
    <t>MJ</t>
  </si>
  <si>
    <t>m2</t>
  </si>
  <si>
    <t>m3</t>
  </si>
  <si>
    <t>m</t>
  </si>
  <si>
    <t>kus</t>
  </si>
  <si>
    <t>kpl</t>
  </si>
  <si>
    <t>t</t>
  </si>
  <si>
    <t>úsek</t>
  </si>
  <si>
    <t>h</t>
  </si>
  <si>
    <t>Množství</t>
  </si>
  <si>
    <t>Cena/MJ</t>
  </si>
  <si>
    <t>(Kč)</t>
  </si>
  <si>
    <t>Náklady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</si>
  <si>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</si>
  <si>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</si>
  <si>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</si>
  <si>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</si>
  <si>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</si>
  <si>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</si>
  <si>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</si>
  <si>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</si>
  <si>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</si>
  <si>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</si>
  <si>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SO_01</t>
  </si>
  <si>
    <t>SO_02</t>
  </si>
  <si>
    <t>01_</t>
  </si>
  <si>
    <t>1_</t>
  </si>
  <si>
    <t>27_</t>
  </si>
  <si>
    <t>3_</t>
  </si>
  <si>
    <t>45_</t>
  </si>
  <si>
    <t>711_</t>
  </si>
  <si>
    <t>62_</t>
  </si>
  <si>
    <t>83_</t>
  </si>
  <si>
    <t>90_</t>
  </si>
  <si>
    <t>S_</t>
  </si>
  <si>
    <t>SO_01_0_</t>
  </si>
  <si>
    <t>SO_01_1_</t>
  </si>
  <si>
    <t>SO_01_2_</t>
  </si>
  <si>
    <t>SO_01_3_</t>
  </si>
  <si>
    <t>SO_01_4_</t>
  </si>
  <si>
    <t>SO_01_71_</t>
  </si>
  <si>
    <t>SO_01_6_</t>
  </si>
  <si>
    <t>SO_01_8_</t>
  </si>
  <si>
    <t>SO_01_9_</t>
  </si>
  <si>
    <t>SO_02_0_</t>
  </si>
  <si>
    <t>SO_02_1_</t>
  </si>
  <si>
    <t>SO_02_2_</t>
  </si>
  <si>
    <t>SO_02_3_</t>
  </si>
  <si>
    <t>SO_02_4_</t>
  </si>
  <si>
    <t>SO_02_71_</t>
  </si>
  <si>
    <t>SO_02_6_</t>
  </si>
  <si>
    <t>SO_02_8_</t>
  </si>
  <si>
    <t>SO_02_9_</t>
  </si>
  <si>
    <t>SO_01_</t>
  </si>
  <si>
    <t>SO_02_</t>
  </si>
  <si>
    <t>MAT</t>
  </si>
  <si>
    <t>WORK</t>
  </si>
  <si>
    <t>CELK</t>
  </si>
  <si>
    <t>ISWORK</t>
  </si>
  <si>
    <t>P</t>
  </si>
  <si>
    <t>M</t>
  </si>
  <si>
    <t>GROUPCODE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</si>
</sst>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1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3" fillId="2" borderId="6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6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2" borderId="16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9" fillId="0" borderId="34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3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35" xfId="0" applyNumberFormat="1" applyFont="1" applyFill="1" applyBorder="1" applyAlignment="1" applyProtection="1">
      <alignment horizontal="right"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left" vertical="center"/>
      <protection/>
    </xf>
    <xf numFmtId="49" fontId="11" fillId="4" borderId="3" xfId="0" applyNumberFormat="1" applyFont="1" applyFill="1" applyBorder="1" applyAlignment="1" applyProtection="1">
      <alignment horizontal="left" vertical="center"/>
      <protection/>
    </xf>
    <xf numFmtId="49" fontId="12" fillId="0" borderId="3" xfId="0" applyNumberFormat="1" applyFont="1" applyFill="1" applyBorder="1" applyAlignment="1" applyProtection="1">
      <alignment horizontal="left" vertical="center"/>
      <protection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49" fontId="10" fillId="3" borderId="3" xfId="0" applyNumberFormat="1" applyFont="1" applyFill="1" applyBorder="1" applyAlignment="1" applyProtection="1">
      <alignment horizontal="left" vertical="center"/>
      <protection/>
    </xf>
    <xf numFmtId="49" fontId="12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14" fillId="3" borderId="15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" borderId="0" xfId="0" applyNumberFormat="1" applyFont="1" applyFill="1" applyBorder="1" applyAlignment="1" applyProtection="1">
      <alignment horizontal="left" vertical="center"/>
      <protection/>
    </xf>
    <xf numFmtId="49" fontId="12" fillId="0" borderId="1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14" fillId="3" borderId="15" xfId="0" applyNumberFormat="1" applyFont="1" applyFill="1" applyBorder="1" applyAlignment="1" applyProtection="1">
      <alignment horizontal="left" vertical="center"/>
      <protection/>
    </xf>
    <xf numFmtId="0" fontId="15" fillId="4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3" borderId="0" xfId="0" applyNumberFormat="1" applyFont="1" applyFill="1" applyBorder="1" applyAlignment="1" applyProtection="1">
      <alignment horizontal="left" vertical="center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10" fillId="3" borderId="15" xfId="0" applyNumberFormat="1" applyFont="1" applyFill="1" applyBorder="1" applyAlignment="1" applyProtection="1">
      <alignment horizontal="left" vertical="center"/>
      <protection/>
    </xf>
    <xf numFmtId="49" fontId="11" fillId="4" borderId="0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1" xfId="0" applyNumberFormat="1" applyFont="1" applyFill="1" applyBorder="1" applyAlignment="1" applyProtection="1">
      <alignment horizontal="righ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left" vertical="top"/>
      <protection/>
    </xf>
    <xf numFmtId="0" fontId="17" fillId="0" borderId="24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" borderId="23" xfId="0" applyNumberFormat="1" applyFont="1" applyFill="1" applyBorder="1" applyAlignment="1" applyProtection="1">
      <alignment horizontal="right" vertical="center"/>
      <protection/>
    </xf>
    <xf numFmtId="4" fontId="15" fillId="4" borderId="24" xfId="0" applyNumberFormat="1" applyFont="1" applyFill="1" applyBorder="1" applyAlignment="1" applyProtection="1">
      <alignment horizontal="right"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4" fontId="13" fillId="0" borderId="24" xfId="0" applyNumberFormat="1" applyFont="1" applyFill="1" applyBorder="1" applyAlignment="1" applyProtection="1">
      <alignment horizontal="right" vertical="center"/>
      <protection/>
    </xf>
    <xf numFmtId="4" fontId="14" fillId="3" borderId="24" xfId="0" applyNumberFormat="1" applyFont="1" applyFill="1" applyBorder="1" applyAlignment="1" applyProtection="1">
      <alignment horizontal="right"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49" fontId="1" fillId="0" borderId="46" xfId="0" applyNumberFormat="1" applyFont="1" applyFill="1" applyBorder="1" applyAlignment="1" applyProtection="1">
      <alignment horizontal="left" vertical="center"/>
      <protection/>
    </xf>
    <xf numFmtId="49" fontId="14" fillId="5" borderId="47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" fontId="14" fillId="5" borderId="47" xfId="0" applyNumberFormat="1" applyFont="1" applyFill="1" applyBorder="1" applyAlignment="1" applyProtection="1">
      <alignment horizontal="righ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0" fillId="5" borderId="50" xfId="0" applyNumberFormat="1" applyFont="1" applyFill="1" applyBorder="1" applyAlignment="1" applyProtection="1">
      <alignment horizontal="left" vertical="center"/>
      <protection/>
    </xf>
    <xf numFmtId="49" fontId="15" fillId="5" borderId="51" xfId="0" applyNumberFormat="1" applyFont="1" applyFill="1" applyBorder="1" applyAlignment="1" applyProtection="1">
      <alignment horizontal="left" vertical="center"/>
      <protection/>
    </xf>
    <xf numFmtId="49" fontId="15" fillId="5" borderId="52" xfId="0" applyNumberFormat="1" applyFont="1" applyFill="1" applyBorder="1" applyAlignment="1" applyProtection="1">
      <alignment horizontal="left" vertical="center"/>
      <protection/>
    </xf>
    <xf numFmtId="49" fontId="14" fillId="5" borderId="50" xfId="0" applyNumberFormat="1" applyFont="1" applyFill="1" applyBorder="1" applyAlignment="1" applyProtection="1">
      <alignment horizontal="left" vertical="center"/>
      <protection/>
    </xf>
    <xf numFmtId="49" fontId="11" fillId="5" borderId="53" xfId="0" applyNumberFormat="1" applyFont="1" applyFill="1" applyBorder="1" applyAlignment="1" applyProtection="1">
      <alignment horizontal="left" vertical="center"/>
      <protection/>
    </xf>
    <xf numFmtId="49" fontId="15" fillId="5" borderId="53" xfId="0" applyNumberFormat="1" applyFont="1" applyFill="1" applyBorder="1" applyAlignment="1" applyProtection="1">
      <alignment horizontal="left" vertical="center"/>
      <protection/>
    </xf>
    <xf numFmtId="0" fontId="14" fillId="3" borderId="50" xfId="0" applyNumberFormat="1" applyFont="1" applyFill="1" applyBorder="1" applyAlignment="1" applyProtection="1">
      <alignment horizontal="left" vertical="center"/>
      <protection/>
    </xf>
    <xf numFmtId="0" fontId="15" fillId="4" borderId="53" xfId="0" applyNumberFormat="1" applyFont="1" applyFill="1" applyBorder="1" applyAlignment="1" applyProtection="1">
      <alignment horizontal="left" vertical="center"/>
      <protection/>
    </xf>
    <xf numFmtId="4" fontId="15" fillId="5" borderId="51" xfId="0" applyNumberFormat="1" applyFont="1" applyFill="1" applyBorder="1" applyAlignment="1" applyProtection="1">
      <alignment horizontal="right" vertical="center"/>
      <protection/>
    </xf>
    <xf numFmtId="4" fontId="15" fillId="5" borderId="52" xfId="0" applyNumberFormat="1" applyFont="1" applyFill="1" applyBorder="1" applyAlignment="1" applyProtection="1">
      <alignment horizontal="right" vertical="center"/>
      <protection/>
    </xf>
    <xf numFmtId="49" fontId="12" fillId="6" borderId="51" xfId="0" applyNumberFormat="1" applyFont="1" applyFill="1" applyBorder="1" applyAlignment="1" applyProtection="1">
      <alignment horizontal="left" vertical="center"/>
      <protection/>
    </xf>
    <xf numFmtId="49" fontId="12" fillId="6" borderId="52" xfId="0" applyNumberFormat="1" applyFont="1" applyFill="1" applyBorder="1" applyAlignment="1" applyProtection="1">
      <alignment horizontal="left" vertical="center"/>
      <protection/>
    </xf>
    <xf numFmtId="49" fontId="11" fillId="5" borderId="54" xfId="0" applyNumberFormat="1" applyFont="1" applyFill="1" applyBorder="1" applyAlignment="1" applyProtection="1">
      <alignment horizontal="left" vertical="center"/>
      <protection/>
    </xf>
    <xf numFmtId="49" fontId="15" fillId="5" borderId="54" xfId="0" applyNumberFormat="1" applyFont="1" applyFill="1" applyBorder="1" applyAlignment="1" applyProtection="1">
      <alignment horizontal="left" vertical="center"/>
      <protection/>
    </xf>
    <xf numFmtId="49" fontId="12" fillId="6" borderId="53" xfId="0" applyNumberFormat="1" applyFont="1" applyFill="1" applyBorder="1" applyAlignment="1" applyProtection="1">
      <alignment horizontal="left" vertical="center"/>
      <protection/>
    </xf>
    <xf numFmtId="0" fontId="15" fillId="4" borderId="54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" fontId="12" fillId="6" borderId="51" xfId="0" applyNumberFormat="1" applyFont="1" applyFill="1" applyBorder="1" applyAlignment="1" applyProtection="1">
      <alignment horizontal="right" vertical="center"/>
      <protection/>
    </xf>
    <xf numFmtId="4" fontId="12" fillId="6" borderId="52" xfId="0" applyNumberFormat="1" applyFont="1" applyFill="1" applyBorder="1" applyAlignment="1" applyProtection="1">
      <alignment horizontal="right" vertical="center"/>
      <protection/>
    </xf>
    <xf numFmtId="4" fontId="12" fillId="6" borderId="53" xfId="0" applyNumberFormat="1" applyFont="1" applyFill="1" applyBorder="1" applyAlignment="1" applyProtection="1">
      <alignment horizontal="right" vertical="center"/>
      <protection/>
    </xf>
    <xf numFmtId="49" fontId="12" fillId="6" borderId="54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  <xf numFmtId="4" fontId="12" fillId="6" borderId="54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90"/>
      <c r="B1" s="2"/>
      <c r="C1" s="32" t="s">
        <v>22</v>
      </c>
      <c r="D1" s="39"/>
      <c r="E1" s="39"/>
      <c r="F1" s="39"/>
      <c r="G1" s="39"/>
      <c r="H1" s="39"/>
      <c r="I1" s="39"/>
    </row>
    <row r="2" spans="1:10" ht="12" customHeight="1">
      <c r="A2" s="3" t="s">
        <v>0</v>
      </c>
      <c r="B2" s="20"/>
      <c r="C2" s="57" t="str">
        <f>'Stavební rozpočet'!C2</f>
        <v>Stadion Srbská Brno - budovy hygienického zázemí</v>
      </c>
      <c r="D2" s="40"/>
      <c r="E2" s="43" t="s">
        <v>32</v>
      </c>
      <c r="F2" s="43" t="str">
        <f>'Stavební rozpočet'!H2</f>
        <v> </v>
      </c>
      <c r="G2" s="20"/>
      <c r="H2" s="43" t="s">
        <v>52</v>
      </c>
      <c r="I2" s="51"/>
      <c r="J2" s="55"/>
    </row>
    <row r="3" spans="1:10" ht="13.5" customHeight="1">
      <c r="A3" s="4"/>
      <c r="B3" s="21"/>
      <c r="C3" s="33"/>
      <c r="D3" s="33"/>
      <c r="E3" s="21"/>
      <c r="F3" s="21"/>
      <c r="G3" s="21"/>
      <c r="H3" s="21"/>
      <c r="I3" s="52"/>
      <c r="J3" s="55"/>
    </row>
    <row r="4" spans="1:10" ht="12.75">
      <c r="A4" s="5" t="s">
        <v>1</v>
      </c>
      <c r="B4" s="21"/>
      <c r="C4" s="19" t="str">
        <f>'Stavební rozpočet'!C4</f>
        <v>oprava svislé hydroizolace</v>
      </c>
      <c r="D4" s="21"/>
      <c r="E4" s="19" t="s">
        <v>33</v>
      </c>
      <c r="F4" s="19" t="str">
        <f>'Stavební rozpočet'!H4</f>
        <v>SAREP PROJEKTY s.r.o.</v>
      </c>
      <c r="G4" s="21"/>
      <c r="H4" s="19" t="s">
        <v>52</v>
      </c>
      <c r="I4" s="53"/>
      <c r="J4" s="55"/>
    </row>
    <row r="5" spans="1:10" ht="12.75" customHeight="1">
      <c r="A5" s="4"/>
      <c r="B5" s="21"/>
      <c r="C5" s="21"/>
      <c r="D5" s="21"/>
      <c r="E5" s="21"/>
      <c r="F5" s="21"/>
      <c r="G5" s="21"/>
      <c r="H5" s="21"/>
      <c r="I5" s="52"/>
      <c r="J5" s="55"/>
    </row>
    <row r="6" spans="1:10" ht="12.75">
      <c r="A6" s="5" t="s">
        <v>2</v>
      </c>
      <c r="B6" s="21"/>
      <c r="C6" s="19" t="str">
        <f>'Stavební rozpočet'!C6</f>
        <v>ul. Srbská, Brno</v>
      </c>
      <c r="D6" s="21"/>
      <c r="E6" s="19" t="s">
        <v>34</v>
      </c>
      <c r="F6" s="19" t="str">
        <f>'Stavební rozpočet'!H6</f>
        <v> </v>
      </c>
      <c r="G6" s="21"/>
      <c r="H6" s="19" t="s">
        <v>52</v>
      </c>
      <c r="I6" s="53"/>
      <c r="J6" s="55"/>
    </row>
    <row r="7" spans="1:10" ht="12.75" customHeight="1">
      <c r="A7" s="4"/>
      <c r="B7" s="21"/>
      <c r="C7" s="21"/>
      <c r="D7" s="21"/>
      <c r="E7" s="21"/>
      <c r="F7" s="21"/>
      <c r="G7" s="21"/>
      <c r="H7" s="21"/>
      <c r="I7" s="52"/>
      <c r="J7" s="55"/>
    </row>
    <row r="8" spans="1:10" ht="12.75">
      <c r="A8" s="5" t="s">
        <v>3</v>
      </c>
      <c r="B8" s="21"/>
      <c r="C8" s="19" t="str">
        <f>'Stavební rozpočet'!F4</f>
        <v>01.02.2023</v>
      </c>
      <c r="D8" s="21"/>
      <c r="E8" s="19" t="s">
        <v>35</v>
      </c>
      <c r="F8" s="19" t="str">
        <f>'Stavební rozpočet'!F6</f>
        <v>01.06.2023</v>
      </c>
      <c r="G8" s="21"/>
      <c r="H8" s="50" t="s">
        <v>53</v>
      </c>
      <c r="I8" s="53" t="s">
        <v>56</v>
      </c>
      <c r="J8" s="55"/>
    </row>
    <row r="9" spans="1:10" ht="12.75">
      <c r="A9" s="4"/>
      <c r="B9" s="21"/>
      <c r="C9" s="21"/>
      <c r="D9" s="21"/>
      <c r="E9" s="21"/>
      <c r="F9" s="21"/>
      <c r="G9" s="21"/>
      <c r="H9" s="21"/>
      <c r="I9" s="52"/>
      <c r="J9" s="55"/>
    </row>
    <row r="10" spans="1:10" ht="12.75">
      <c r="A10" s="5" t="s">
        <v>4</v>
      </c>
      <c r="B10" s="21"/>
      <c r="C10" s="19" t="str">
        <f>'Stavební rozpočet'!C8</f>
        <v> </v>
      </c>
      <c r="D10" s="21"/>
      <c r="E10" s="19" t="s">
        <v>36</v>
      </c>
      <c r="F10" s="19" t="str">
        <f>'Stavební rozpočet'!H8</f>
        <v> </v>
      </c>
      <c r="G10" s="21"/>
      <c r="H10" s="50" t="s">
        <v>54</v>
      </c>
      <c r="I10" s="59" t="str">
        <f>'Stavební rozpočet'!F8</f>
        <v>08.11.2022</v>
      </c>
      <c r="J10" s="55"/>
    </row>
    <row r="11" spans="1:10" ht="12.75">
      <c r="A11" s="6"/>
      <c r="B11" s="22"/>
      <c r="C11" s="22"/>
      <c r="D11" s="22"/>
      <c r="E11" s="22"/>
      <c r="F11" s="22"/>
      <c r="G11" s="22"/>
      <c r="H11" s="22"/>
      <c r="I11" s="54"/>
      <c r="J11" s="55"/>
    </row>
    <row r="12" spans="1:9" ht="21.75" customHeight="1">
      <c r="A12" s="7" t="s">
        <v>5</v>
      </c>
      <c r="B12" s="23"/>
      <c r="C12" s="23"/>
      <c r="D12" s="23"/>
      <c r="E12" s="23"/>
      <c r="F12" s="23"/>
      <c r="G12" s="23"/>
      <c r="H12" s="23"/>
      <c r="I12" s="23"/>
    </row>
    <row r="13" spans="1:10" ht="26.25" customHeight="1">
      <c r="A13" s="8" t="s">
        <v>6</v>
      </c>
      <c r="B13" s="24" t="s">
        <v>19</v>
      </c>
      <c r="C13" s="34"/>
      <c r="D13" s="8" t="s">
        <v>23</v>
      </c>
      <c r="E13" s="24" t="s">
        <v>37</v>
      </c>
      <c r="F13" s="34"/>
      <c r="G13" s="8" t="s">
        <v>38</v>
      </c>
      <c r="H13" s="24" t="s">
        <v>55</v>
      </c>
      <c r="I13" s="34"/>
      <c r="J13" s="55"/>
    </row>
    <row r="14" spans="1:10" ht="14.25" customHeight="1">
      <c r="A14" s="9" t="s">
        <v>7</v>
      </c>
      <c r="B14" s="25" t="s">
        <v>20</v>
      </c>
      <c r="C14" s="45">
        <f>SUM('Stavební rozpočet'!AB12:AB245)</f>
        <v>0</v>
      </c>
      <c r="D14" s="41" t="s">
        <v>24</v>
      </c>
      <c r="E14" s="44"/>
      <c r="F14" s="45">
        <f>VORN!I15</f>
        <v>0</v>
      </c>
      <c r="G14" s="41" t="s">
        <v>39</v>
      </c>
      <c r="H14" s="44"/>
      <c r="I14" s="45">
        <f>VORN!I21</f>
        <v>0</v>
      </c>
      <c r="J14" s="55"/>
    </row>
    <row r="15" spans="1:10" ht="14.25" customHeight="1">
      <c r="A15" s="10"/>
      <c r="B15" s="25" t="s">
        <v>21</v>
      </c>
      <c r="C15" s="45">
        <f>SUM('Stavební rozpočet'!AC12:AC245)</f>
        <v>0</v>
      </c>
      <c r="D15" s="41" t="s">
        <v>25</v>
      </c>
      <c r="E15" s="44"/>
      <c r="F15" s="45">
        <f>VORN!I16</f>
        <v>0</v>
      </c>
      <c r="G15" s="41" t="s">
        <v>40</v>
      </c>
      <c r="H15" s="44"/>
      <c r="I15" s="45">
        <f>VORN!I22</f>
        <v>0</v>
      </c>
      <c r="J15" s="55"/>
    </row>
    <row r="16" spans="1:10" ht="14.25" customHeight="1">
      <c r="A16" s="9" t="s">
        <v>8</v>
      </c>
      <c r="B16" s="25" t="s">
        <v>20</v>
      </c>
      <c r="C16" s="45">
        <f>SUM('Stavební rozpočet'!AD12:AD245)</f>
        <v>0</v>
      </c>
      <c r="D16" s="41" t="s">
        <v>26</v>
      </c>
      <c r="E16" s="44"/>
      <c r="F16" s="45">
        <f>VORN!I17</f>
        <v>0</v>
      </c>
      <c r="G16" s="41" t="s">
        <v>41</v>
      </c>
      <c r="H16" s="44"/>
      <c r="I16" s="45">
        <f>VORN!I23</f>
        <v>0</v>
      </c>
      <c r="J16" s="55"/>
    </row>
    <row r="17" spans="1:10" ht="14.25" customHeight="1">
      <c r="A17" s="10"/>
      <c r="B17" s="25" t="s">
        <v>21</v>
      </c>
      <c r="C17" s="45">
        <f>SUM('Stavební rozpočet'!AE12:AE245)</f>
        <v>0</v>
      </c>
      <c r="D17" s="41"/>
      <c r="E17" s="44"/>
      <c r="F17" s="46"/>
      <c r="G17" s="41" t="s">
        <v>42</v>
      </c>
      <c r="H17" s="44"/>
      <c r="I17" s="45">
        <f>VORN!I24</f>
        <v>0</v>
      </c>
      <c r="J17" s="55"/>
    </row>
    <row r="18" spans="1:10" ht="14.25" customHeight="1">
      <c r="A18" s="9" t="s">
        <v>9</v>
      </c>
      <c r="B18" s="25" t="s">
        <v>20</v>
      </c>
      <c r="C18" s="45">
        <f>SUM('Stavební rozpočet'!AF12:AF245)</f>
        <v>0</v>
      </c>
      <c r="D18" s="41"/>
      <c r="E18" s="44"/>
      <c r="F18" s="46"/>
      <c r="G18" s="41" t="s">
        <v>43</v>
      </c>
      <c r="H18" s="44"/>
      <c r="I18" s="45">
        <f>VORN!I25</f>
        <v>0</v>
      </c>
      <c r="J18" s="55"/>
    </row>
    <row r="19" spans="1:10" ht="14.25" customHeight="1">
      <c r="A19" s="10"/>
      <c r="B19" s="25" t="s">
        <v>21</v>
      </c>
      <c r="C19" s="45">
        <f>SUM('Stavební rozpočet'!AG12:AG245)</f>
        <v>0</v>
      </c>
      <c r="D19" s="41"/>
      <c r="E19" s="44"/>
      <c r="F19" s="46"/>
      <c r="G19" s="41" t="s">
        <v>44</v>
      </c>
      <c r="H19" s="44"/>
      <c r="I19" s="45">
        <f>VORN!I26</f>
        <v>0</v>
      </c>
      <c r="J19" s="55"/>
    </row>
    <row r="20" spans="1:10" ht="14.25" customHeight="1">
      <c r="A20" s="11" t="s">
        <v>10</v>
      </c>
      <c r="B20" s="26"/>
      <c r="C20" s="45">
        <f>SUM('Stavební rozpočet'!AH12:AH245)</f>
        <v>0</v>
      </c>
      <c r="D20" s="41"/>
      <c r="E20" s="44"/>
      <c r="F20" s="46"/>
      <c r="G20" s="41"/>
      <c r="H20" s="44"/>
      <c r="I20" s="46"/>
      <c r="J20" s="55"/>
    </row>
    <row r="21" spans="1:10" ht="14.25" customHeight="1">
      <c r="A21" s="11" t="s">
        <v>11</v>
      </c>
      <c r="B21" s="26"/>
      <c r="C21" s="45">
        <f>SUM('Stavební rozpočet'!Z12:Z245)</f>
        <v>0</v>
      </c>
      <c r="D21" s="41"/>
      <c r="E21" s="44"/>
      <c r="F21" s="46"/>
      <c r="G21" s="41"/>
      <c r="H21" s="44"/>
      <c r="I21" s="46"/>
      <c r="J21" s="55"/>
    </row>
    <row r="22" spans="1:10" ht="15.75" customHeight="1">
      <c r="A22" s="11" t="s">
        <v>12</v>
      </c>
      <c r="B22" s="26"/>
      <c r="C22" s="45">
        <f>SUM(C14:C21)</f>
        <v>0</v>
      </c>
      <c r="D22" s="11" t="s">
        <v>27</v>
      </c>
      <c r="E22" s="26"/>
      <c r="F22" s="45">
        <f>SUM(F14:F21)</f>
        <v>0</v>
      </c>
      <c r="G22" s="11" t="s">
        <v>45</v>
      </c>
      <c r="H22" s="26"/>
      <c r="I22" s="45">
        <f>SUM(I14:I21)</f>
        <v>0</v>
      </c>
      <c r="J22" s="55"/>
    </row>
    <row r="23" spans="1:10" ht="14.25" customHeight="1">
      <c r="A23" s="12"/>
      <c r="B23" s="12"/>
      <c r="C23" s="35"/>
      <c r="D23" s="11" t="s">
        <v>28</v>
      </c>
      <c r="E23" s="26"/>
      <c r="F23" s="47">
        <v>0</v>
      </c>
      <c r="G23" s="11" t="s">
        <v>46</v>
      </c>
      <c r="H23" s="26"/>
      <c r="I23" s="45">
        <v>0</v>
      </c>
      <c r="J23" s="55"/>
    </row>
    <row r="24" spans="4:10" ht="14.25" customHeight="1">
      <c r="D24" s="12"/>
      <c r="E24" s="12"/>
      <c r="F24" s="48"/>
      <c r="G24" s="11" t="s">
        <v>47</v>
      </c>
      <c r="H24" s="26"/>
      <c r="I24" s="45">
        <f>vorn_sum</f>
        <v>0</v>
      </c>
      <c r="J24" s="55"/>
    </row>
    <row r="25" spans="6:10" ht="14.25" customHeight="1">
      <c r="F25" s="49"/>
      <c r="G25" s="11" t="s">
        <v>48</v>
      </c>
      <c r="H25" s="26"/>
      <c r="I25" s="45">
        <v>0</v>
      </c>
      <c r="J25" s="55"/>
    </row>
    <row r="26" spans="1:9" ht="12.75">
      <c r="A26" s="2"/>
      <c r="B26" s="2"/>
      <c r="C26" s="2"/>
      <c r="G26" s="12"/>
      <c r="H26" s="12"/>
      <c r="I26" s="12"/>
    </row>
    <row r="27" spans="1:9" ht="14.25" customHeight="1">
      <c r="A27" s="13" t="s">
        <v>13</v>
      </c>
      <c r="B27" s="27"/>
      <c r="C27" s="58">
        <f>SUM('Stavební rozpočet'!AJ12:AJ245)</f>
        <v>0</v>
      </c>
      <c r="D27" s="42"/>
      <c r="E27" s="2"/>
      <c r="F27" s="2"/>
      <c r="G27" s="2"/>
      <c r="H27" s="2"/>
      <c r="I27" s="2"/>
    </row>
    <row r="28" spans="1:10" ht="14.25" customHeight="1">
      <c r="A28" s="13" t="s">
        <v>14</v>
      </c>
      <c r="B28" s="27"/>
      <c r="C28" s="58">
        <f>SUM('Stavební rozpočet'!AK12:AK245)</f>
        <v>0</v>
      </c>
      <c r="D28" s="13" t="s">
        <v>29</v>
      </c>
      <c r="E28" s="27"/>
      <c r="F28" s="58">
        <f>ROUND(C28*(15/100),2)</f>
        <v>0</v>
      </c>
      <c r="G28" s="13" t="s">
        <v>49</v>
      </c>
      <c r="H28" s="27"/>
      <c r="I28" s="58">
        <f>SUM(C27:C29)</f>
        <v>0</v>
      </c>
      <c r="J28" s="55"/>
    </row>
    <row r="29" spans="1:10" ht="14.25" customHeight="1">
      <c r="A29" s="13" t="s">
        <v>15</v>
      </c>
      <c r="B29" s="27"/>
      <c r="C29" s="58">
        <f>SUM('Stavební rozpočet'!AL12:AL245)+(F22+I22+F23+I23+I24+I25)</f>
        <v>0</v>
      </c>
      <c r="D29" s="13" t="s">
        <v>30</v>
      </c>
      <c r="E29" s="27"/>
      <c r="F29" s="58">
        <f>ROUND(C29*(21/100),2)</f>
        <v>0</v>
      </c>
      <c r="G29" s="13" t="s">
        <v>50</v>
      </c>
      <c r="H29" s="27"/>
      <c r="I29" s="58">
        <f>SUM(F28:F29)+I28</f>
        <v>0</v>
      </c>
      <c r="J29" s="55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15" t="s">
        <v>16</v>
      </c>
      <c r="B31" s="28"/>
      <c r="C31" s="36"/>
      <c r="D31" s="15" t="s">
        <v>31</v>
      </c>
      <c r="E31" s="28"/>
      <c r="F31" s="36"/>
      <c r="G31" s="15" t="s">
        <v>51</v>
      </c>
      <c r="H31" s="28"/>
      <c r="I31" s="36"/>
      <c r="J31" s="56"/>
    </row>
    <row r="32" spans="1:10" ht="14.25" customHeight="1">
      <c r="A32" s="16"/>
      <c r="B32" s="29"/>
      <c r="C32" s="37"/>
      <c r="D32" s="16"/>
      <c r="E32" s="29"/>
      <c r="F32" s="37"/>
      <c r="G32" s="16"/>
      <c r="H32" s="29"/>
      <c r="I32" s="37"/>
      <c r="J32" s="56"/>
    </row>
    <row r="33" spans="1:10" ht="14.25" customHeight="1">
      <c r="A33" s="16"/>
      <c r="B33" s="29"/>
      <c r="C33" s="37"/>
      <c r="D33" s="16"/>
      <c r="E33" s="29"/>
      <c r="F33" s="37"/>
      <c r="G33" s="16"/>
      <c r="H33" s="29"/>
      <c r="I33" s="37"/>
      <c r="J33" s="56"/>
    </row>
    <row r="34" spans="1:10" ht="14.25" customHeight="1">
      <c r="A34" s="16"/>
      <c r="B34" s="29"/>
      <c r="C34" s="37"/>
      <c r="D34" s="16"/>
      <c r="E34" s="29"/>
      <c r="F34" s="37"/>
      <c r="G34" s="16"/>
      <c r="H34" s="29"/>
      <c r="I34" s="37"/>
      <c r="J34" s="56"/>
    </row>
    <row r="35" spans="1:10" ht="14.25" customHeight="1">
      <c r="A35" s="17" t="s">
        <v>17</v>
      </c>
      <c r="B35" s="30"/>
      <c r="C35" s="38"/>
      <c r="D35" s="17" t="s">
        <v>17</v>
      </c>
      <c r="E35" s="30"/>
      <c r="F35" s="38"/>
      <c r="G35" s="17" t="s">
        <v>17</v>
      </c>
      <c r="H35" s="30"/>
      <c r="I35" s="38"/>
      <c r="J35" s="56"/>
    </row>
    <row r="36" spans="1:9" ht="9.75" customHeight="1">
      <c r="A36" s="18" t="s">
        <v>18</v>
      </c>
      <c r="B36" s="31"/>
      <c r="C36" s="31"/>
      <c r="D36" s="31"/>
      <c r="E36" s="31"/>
      <c r="F36" s="31"/>
      <c r="G36" s="31"/>
      <c r="H36" s="31"/>
      <c r="I36" s="31"/>
    </row>
    <row r="37" spans="1:9" ht="12.75" customHeight="1">
      <c r="A37" s="19"/>
      <c r="B37" s="21"/>
      <c r="C37" s="21"/>
      <c r="D37" s="21"/>
      <c r="E37" s="21"/>
      <c r="F37" s="21"/>
      <c r="G37" s="21"/>
      <c r="H37" s="21"/>
      <c r="I37" s="21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7.140625" customWidth="1"/>
    <col min="9" max="9" width="22.8515625" customWidth="1"/>
  </cols>
  <sheetData>
    <row r="1" spans="1:9" ht="72.75" customHeight="1">
      <c r="A1" s="190"/>
      <c r="B1" s="2"/>
      <c r="C1" s="32" t="s">
        <v>66</v>
      </c>
      <c r="D1" s="39"/>
      <c r="E1" s="39"/>
      <c r="F1" s="39"/>
      <c r="G1" s="39"/>
      <c r="H1" s="39"/>
      <c r="I1" s="39"/>
    </row>
    <row r="2" spans="1:10" ht="12" customHeight="1">
      <c r="A2" s="3" t="s">
        <v>0</v>
      </c>
      <c r="B2" s="20"/>
      <c r="C2" s="57" t="str">
        <f>'Stavební rozpočet'!C2</f>
        <v>Stadion Srbská Brno - budovy hygienického zázemí</v>
      </c>
      <c r="D2" s="40"/>
      <c r="E2" s="43" t="s">
        <v>32</v>
      </c>
      <c r="F2" s="43" t="str">
        <f>'Stavební rozpočet'!H2</f>
        <v> </v>
      </c>
      <c r="G2" s="20"/>
      <c r="H2" s="43" t="s">
        <v>52</v>
      </c>
      <c r="I2" s="51"/>
      <c r="J2" s="55"/>
    </row>
    <row r="3" spans="1:10" ht="13.5" customHeight="1">
      <c r="A3" s="4"/>
      <c r="B3" s="21"/>
      <c r="C3" s="33"/>
      <c r="D3" s="33"/>
      <c r="E3" s="21"/>
      <c r="F3" s="21"/>
      <c r="G3" s="21"/>
      <c r="H3" s="21"/>
      <c r="I3" s="52"/>
      <c r="J3" s="55"/>
    </row>
    <row r="4" spans="1:10" ht="12.75">
      <c r="A4" s="5" t="s">
        <v>1</v>
      </c>
      <c r="B4" s="21"/>
      <c r="C4" s="19" t="str">
        <f>'Stavební rozpočet'!C4</f>
        <v>oprava svislé hydroizolace</v>
      </c>
      <c r="D4" s="21"/>
      <c r="E4" s="19" t="s">
        <v>33</v>
      </c>
      <c r="F4" s="19" t="str">
        <f>'Stavební rozpočet'!H4</f>
        <v>SAREP PROJEKTY s.r.o.</v>
      </c>
      <c r="G4" s="21"/>
      <c r="H4" s="19" t="s">
        <v>52</v>
      </c>
      <c r="I4" s="53"/>
      <c r="J4" s="55"/>
    </row>
    <row r="5" spans="1:10" ht="12.75" customHeight="1">
      <c r="A5" s="4"/>
      <c r="B5" s="21"/>
      <c r="C5" s="21"/>
      <c r="D5" s="21"/>
      <c r="E5" s="21"/>
      <c r="F5" s="21"/>
      <c r="G5" s="21"/>
      <c r="H5" s="21"/>
      <c r="I5" s="52"/>
      <c r="J5" s="55"/>
    </row>
    <row r="6" spans="1:10" ht="12.75">
      <c r="A6" s="5" t="s">
        <v>2</v>
      </c>
      <c r="B6" s="21"/>
      <c r="C6" s="19" t="str">
        <f>'Stavební rozpočet'!C6</f>
        <v>ul. Srbská, Brno</v>
      </c>
      <c r="D6" s="21"/>
      <c r="E6" s="19" t="s">
        <v>34</v>
      </c>
      <c r="F6" s="19" t="str">
        <f>'Stavební rozpočet'!H6</f>
        <v> </v>
      </c>
      <c r="G6" s="21"/>
      <c r="H6" s="19" t="s">
        <v>52</v>
      </c>
      <c r="I6" s="53"/>
      <c r="J6" s="55"/>
    </row>
    <row r="7" spans="1:10" ht="12.75" customHeight="1">
      <c r="A7" s="4"/>
      <c r="B7" s="21"/>
      <c r="C7" s="21"/>
      <c r="D7" s="21"/>
      <c r="E7" s="21"/>
      <c r="F7" s="21"/>
      <c r="G7" s="21"/>
      <c r="H7" s="21"/>
      <c r="I7" s="52"/>
      <c r="J7" s="55"/>
    </row>
    <row r="8" spans="1:10" ht="12.75">
      <c r="A8" s="5" t="s">
        <v>3</v>
      </c>
      <c r="B8" s="21"/>
      <c r="C8" s="19" t="str">
        <f>'Stavební rozpočet'!F4</f>
        <v>01.02.2023</v>
      </c>
      <c r="D8" s="21"/>
      <c r="E8" s="19" t="s">
        <v>35</v>
      </c>
      <c r="F8" s="19" t="str">
        <f>'Stavební rozpočet'!F6</f>
        <v>01.06.2023</v>
      </c>
      <c r="G8" s="21"/>
      <c r="H8" s="50" t="s">
        <v>53</v>
      </c>
      <c r="I8" s="53" t="s">
        <v>56</v>
      </c>
      <c r="J8" s="55"/>
    </row>
    <row r="9" spans="1:10" ht="12.75">
      <c r="A9" s="4"/>
      <c r="B9" s="21"/>
      <c r="C9" s="21"/>
      <c r="D9" s="21"/>
      <c r="E9" s="21"/>
      <c r="F9" s="21"/>
      <c r="G9" s="21"/>
      <c r="H9" s="21"/>
      <c r="I9" s="52"/>
      <c r="J9" s="55"/>
    </row>
    <row r="10" spans="1:10" ht="12.75">
      <c r="A10" s="5" t="s">
        <v>4</v>
      </c>
      <c r="B10" s="21"/>
      <c r="C10" s="19" t="str">
        <f>'Stavební rozpočet'!C8</f>
        <v> </v>
      </c>
      <c r="D10" s="21"/>
      <c r="E10" s="19" t="s">
        <v>36</v>
      </c>
      <c r="F10" s="19" t="str">
        <f>'Stavební rozpočet'!H8</f>
        <v> </v>
      </c>
      <c r="G10" s="21"/>
      <c r="H10" s="50" t="s">
        <v>54</v>
      </c>
      <c r="I10" s="59" t="str">
        <f>'Stavební rozpočet'!F8</f>
        <v>08.11.2022</v>
      </c>
      <c r="J10" s="55"/>
    </row>
    <row r="11" spans="1:10" ht="12.75">
      <c r="A11" s="6"/>
      <c r="B11" s="22"/>
      <c r="C11" s="22"/>
      <c r="D11" s="22"/>
      <c r="E11" s="22"/>
      <c r="F11" s="22"/>
      <c r="G11" s="22"/>
      <c r="H11" s="22"/>
      <c r="I11" s="54"/>
      <c r="J11" s="55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4.25" customHeight="1">
      <c r="A13" s="60" t="s">
        <v>57</v>
      </c>
      <c r="B13" s="67"/>
      <c r="C13" s="67"/>
      <c r="D13" s="67"/>
      <c r="E13" s="67"/>
      <c r="F13" s="78"/>
      <c r="G13" s="78"/>
      <c r="H13" s="78"/>
      <c r="I13" s="78"/>
    </row>
    <row r="14" spans="1:10" ht="12" customHeight="1">
      <c r="A14" s="61" t="s">
        <v>58</v>
      </c>
      <c r="B14" s="68"/>
      <c r="C14" s="68"/>
      <c r="D14" s="68"/>
      <c r="E14" s="73"/>
      <c r="F14" s="79" t="s">
        <v>67</v>
      </c>
      <c r="G14" s="79" t="s">
        <v>68</v>
      </c>
      <c r="H14" s="79" t="s">
        <v>69</v>
      </c>
      <c r="I14" s="79" t="s">
        <v>67</v>
      </c>
      <c r="J14" s="56"/>
    </row>
    <row r="15" spans="1:10" ht="12.75">
      <c r="A15" s="62" t="s">
        <v>24</v>
      </c>
      <c r="B15" s="69"/>
      <c r="C15" s="69"/>
      <c r="D15" s="69"/>
      <c r="E15" s="74"/>
      <c r="F15" s="80">
        <v>0</v>
      </c>
      <c r="G15" s="83"/>
      <c r="H15" s="83"/>
      <c r="I15" s="80">
        <f>F15</f>
        <v>0</v>
      </c>
      <c r="J15" s="55"/>
    </row>
    <row r="16" spans="1:10" ht="12.75">
      <c r="A16" s="62" t="s">
        <v>25</v>
      </c>
      <c r="B16" s="69"/>
      <c r="C16" s="69"/>
      <c r="D16" s="69"/>
      <c r="E16" s="74"/>
      <c r="F16" s="80">
        <v>0</v>
      </c>
      <c r="G16" s="83"/>
      <c r="H16" s="83"/>
      <c r="I16" s="80">
        <f>F16</f>
        <v>0</v>
      </c>
      <c r="J16" s="55"/>
    </row>
    <row r="17" spans="1:10" ht="12.75">
      <c r="A17" s="63" t="s">
        <v>26</v>
      </c>
      <c r="B17" s="70"/>
      <c r="C17" s="70"/>
      <c r="D17" s="70"/>
      <c r="E17" s="75"/>
      <c r="F17" s="81">
        <v>0</v>
      </c>
      <c r="G17" s="84"/>
      <c r="H17" s="84"/>
      <c r="I17" s="81">
        <f>F17</f>
        <v>0</v>
      </c>
      <c r="J17" s="55"/>
    </row>
    <row r="18" spans="1:10" ht="12" customHeight="1">
      <c r="A18" s="64" t="s">
        <v>59</v>
      </c>
      <c r="B18" s="71"/>
      <c r="C18" s="71"/>
      <c r="D18" s="71"/>
      <c r="E18" s="76"/>
      <c r="F18" s="82"/>
      <c r="G18" s="85"/>
      <c r="H18" s="85"/>
      <c r="I18" s="89">
        <f>SUM(I15:I17)</f>
        <v>0</v>
      </c>
      <c r="J18" s="56"/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10" ht="12" customHeight="1">
      <c r="A20" s="61" t="s">
        <v>55</v>
      </c>
      <c r="B20" s="68"/>
      <c r="C20" s="68"/>
      <c r="D20" s="68"/>
      <c r="E20" s="73"/>
      <c r="F20" s="79" t="s">
        <v>67</v>
      </c>
      <c r="G20" s="79" t="s">
        <v>68</v>
      </c>
      <c r="H20" s="79" t="s">
        <v>69</v>
      </c>
      <c r="I20" s="79" t="s">
        <v>67</v>
      </c>
      <c r="J20" s="56"/>
    </row>
    <row r="21" spans="1:10" ht="12.75">
      <c r="A21" s="62" t="s">
        <v>39</v>
      </c>
      <c r="B21" s="69"/>
      <c r="C21" s="69"/>
      <c r="D21" s="69"/>
      <c r="E21" s="74"/>
      <c r="F21" s="80">
        <v>0</v>
      </c>
      <c r="G21" s="83"/>
      <c r="H21" s="83"/>
      <c r="I21" s="80">
        <f>F21</f>
        <v>0</v>
      </c>
      <c r="J21" s="55"/>
    </row>
    <row r="22" spans="1:10" ht="12.75">
      <c r="A22" s="62" t="s">
        <v>40</v>
      </c>
      <c r="B22" s="69"/>
      <c r="C22" s="69"/>
      <c r="D22" s="69"/>
      <c r="E22" s="74"/>
      <c r="F22" s="80">
        <v>0</v>
      </c>
      <c r="G22" s="83"/>
      <c r="H22" s="83"/>
      <c r="I22" s="80">
        <f>F22</f>
        <v>0</v>
      </c>
      <c r="J22" s="55"/>
    </row>
    <row r="23" spans="1:10" ht="12.75">
      <c r="A23" s="62" t="s">
        <v>41</v>
      </c>
      <c r="B23" s="69"/>
      <c r="C23" s="69"/>
      <c r="D23" s="69"/>
      <c r="E23" s="74"/>
      <c r="F23" s="80">
        <v>0</v>
      </c>
      <c r="G23" s="83"/>
      <c r="H23" s="83"/>
      <c r="I23" s="80">
        <f>F23</f>
        <v>0</v>
      </c>
      <c r="J23" s="55"/>
    </row>
    <row r="24" spans="1:10" ht="12.75">
      <c r="A24" s="62" t="s">
        <v>42</v>
      </c>
      <c r="B24" s="69"/>
      <c r="C24" s="69"/>
      <c r="D24" s="69"/>
      <c r="E24" s="74"/>
      <c r="F24" s="80">
        <v>0</v>
      </c>
      <c r="G24" s="83"/>
      <c r="H24" s="83"/>
      <c r="I24" s="80">
        <f>F24</f>
        <v>0</v>
      </c>
      <c r="J24" s="55"/>
    </row>
    <row r="25" spans="1:10" ht="12.75">
      <c r="A25" s="62" t="s">
        <v>43</v>
      </c>
      <c r="B25" s="69"/>
      <c r="C25" s="69"/>
      <c r="D25" s="69"/>
      <c r="E25" s="74"/>
      <c r="F25" s="80">
        <v>0</v>
      </c>
      <c r="G25" s="83"/>
      <c r="H25" s="83"/>
      <c r="I25" s="80">
        <f>F25</f>
        <v>0</v>
      </c>
      <c r="J25" s="55"/>
    </row>
    <row r="26" spans="1:10" ht="12.75">
      <c r="A26" s="63" t="s">
        <v>44</v>
      </c>
      <c r="B26" s="70"/>
      <c r="C26" s="70"/>
      <c r="D26" s="70"/>
      <c r="E26" s="75"/>
      <c r="F26" s="81">
        <v>0</v>
      </c>
      <c r="G26" s="84"/>
      <c r="H26" s="84"/>
      <c r="I26" s="81">
        <f>F26</f>
        <v>0</v>
      </c>
      <c r="J26" s="55"/>
    </row>
    <row r="27" spans="1:10" ht="12" customHeight="1">
      <c r="A27" s="64" t="s">
        <v>60</v>
      </c>
      <c r="B27" s="71"/>
      <c r="C27" s="71"/>
      <c r="D27" s="71"/>
      <c r="E27" s="76"/>
      <c r="F27" s="82"/>
      <c r="G27" s="85"/>
      <c r="H27" s="85"/>
      <c r="I27" s="89">
        <f>SUM(I21:I26)</f>
        <v>0</v>
      </c>
      <c r="J27" s="56"/>
    </row>
    <row r="28" spans="1:9" ht="12.75">
      <c r="A28" s="65"/>
      <c r="B28" s="65"/>
      <c r="C28" s="65"/>
      <c r="D28" s="65"/>
      <c r="E28" s="65"/>
      <c r="F28" s="65"/>
      <c r="G28" s="65"/>
      <c r="H28" s="65"/>
      <c r="I28" s="65"/>
    </row>
    <row r="29" spans="1:10" ht="14.25" customHeight="1">
      <c r="A29" s="66" t="s">
        <v>61</v>
      </c>
      <c r="B29" s="72"/>
      <c r="C29" s="72"/>
      <c r="D29" s="72"/>
      <c r="E29" s="77"/>
      <c r="F29" s="88">
        <f>I18+I27</f>
        <v>0</v>
      </c>
      <c r="G29" s="86"/>
      <c r="H29" s="86"/>
      <c r="I29" s="87"/>
      <c r="J29" s="56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3" spans="1:9" ht="14.25" customHeight="1">
      <c r="A33" s="60" t="s">
        <v>62</v>
      </c>
      <c r="B33" s="67"/>
      <c r="C33" s="67"/>
      <c r="D33" s="67"/>
      <c r="E33" s="67"/>
      <c r="F33" s="78"/>
      <c r="G33" s="78"/>
      <c r="H33" s="78"/>
      <c r="I33" s="78"/>
    </row>
    <row r="34" spans="1:10" ht="12" customHeight="1">
      <c r="A34" s="61" t="s">
        <v>63</v>
      </c>
      <c r="B34" s="68"/>
      <c r="C34" s="68"/>
      <c r="D34" s="68"/>
      <c r="E34" s="73"/>
      <c r="F34" s="79" t="s">
        <v>67</v>
      </c>
      <c r="G34" s="79" t="s">
        <v>68</v>
      </c>
      <c r="H34" s="79" t="s">
        <v>69</v>
      </c>
      <c r="I34" s="79" t="s">
        <v>67</v>
      </c>
      <c r="J34" s="56"/>
    </row>
    <row r="35" spans="1:10" ht="12.75">
      <c r="A35" s="63" t="s">
        <v>64</v>
      </c>
      <c r="B35" s="70"/>
      <c r="C35" s="70"/>
      <c r="D35" s="70"/>
      <c r="E35" s="75"/>
      <c r="F35" s="81">
        <v>0</v>
      </c>
      <c r="G35" s="84"/>
      <c r="H35" s="84"/>
      <c r="I35" s="81">
        <f>F35</f>
        <v>0</v>
      </c>
      <c r="J35" s="55"/>
    </row>
    <row r="36" spans="1:10" ht="12" customHeight="1">
      <c r="A36" s="64" t="s">
        <v>65</v>
      </c>
      <c r="B36" s="71"/>
      <c r="C36" s="71"/>
      <c r="D36" s="71"/>
      <c r="E36" s="76"/>
      <c r="F36" s="82"/>
      <c r="G36" s="85"/>
      <c r="H36" s="85"/>
      <c r="I36" s="89">
        <f>SUM(I35:I35)</f>
        <v>0</v>
      </c>
      <c r="J36" s="56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48"/>
  <sheetViews>
    <sheetView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customWidth="1"/>
    <col min="2" max="2" width="14.28125" customWidth="1"/>
    <col min="3" max="3" width="71.140625" customWidth="1"/>
    <col min="4" max="8" width="12.140625" customWidth="1"/>
    <col min="9" max="9" width="5.28125" customWidth="1"/>
    <col min="10" max="10" width="12.8515625" customWidth="1"/>
    <col min="11" max="11" width="12.00390625" customWidth="1"/>
    <col min="12" max="12" width="14.28125" customWidth="1"/>
    <col min="25" max="64" width="11.00390625" hidden="1" customWidth="1"/>
  </cols>
  <sheetData>
    <row r="1" spans="1:12" ht="72.75" customHeight="1">
      <c r="A1" s="157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12" customHeight="1">
      <c r="A2" s="3" t="s">
        <v>0</v>
      </c>
      <c r="B2" s="20"/>
      <c r="C2" s="57" t="s">
        <v>243</v>
      </c>
      <c r="D2" s="115" t="s">
        <v>370</v>
      </c>
      <c r="E2" s="20"/>
      <c r="F2" s="115" t="s">
        <v>372</v>
      </c>
      <c r="G2" s="43" t="s">
        <v>32</v>
      </c>
      <c r="H2" s="115" t="s">
        <v>376</v>
      </c>
      <c r="I2" s="20"/>
      <c r="J2" s="20"/>
      <c r="K2" s="20"/>
      <c r="L2" s="137"/>
      <c r="M2" s="55"/>
    </row>
    <row r="3" spans="1:13" ht="12" customHeight="1">
      <c r="A3" s="4"/>
      <c r="B3" s="21"/>
      <c r="C3" s="33"/>
      <c r="D3" s="21"/>
      <c r="E3" s="21"/>
      <c r="F3" s="21"/>
      <c r="G3" s="21"/>
      <c r="H3" s="21"/>
      <c r="I3" s="21"/>
      <c r="J3" s="21"/>
      <c r="K3" s="21"/>
      <c r="L3" s="52"/>
      <c r="M3" s="55"/>
    </row>
    <row r="4" spans="1:13" ht="12.75">
      <c r="A4" s="5" t="s">
        <v>1</v>
      </c>
      <c r="B4" s="21"/>
      <c r="C4" s="19" t="s">
        <v>244</v>
      </c>
      <c r="D4" s="50" t="s">
        <v>3</v>
      </c>
      <c r="E4" s="21"/>
      <c r="F4" s="50" t="s">
        <v>373</v>
      </c>
      <c r="G4" s="19" t="s">
        <v>33</v>
      </c>
      <c r="H4" s="19" t="s">
        <v>377</v>
      </c>
      <c r="I4" s="21"/>
      <c r="J4" s="21"/>
      <c r="K4" s="21"/>
      <c r="L4" s="52"/>
      <c r="M4" s="55"/>
    </row>
    <row r="5" spans="1:13" ht="12.75">
      <c r="A5" s="4"/>
      <c r="B5" s="21"/>
      <c r="C5" s="21"/>
      <c r="D5" s="21"/>
      <c r="E5" s="21"/>
      <c r="F5" s="21"/>
      <c r="G5" s="21"/>
      <c r="H5" s="21"/>
      <c r="I5" s="21"/>
      <c r="J5" s="21"/>
      <c r="K5" s="21"/>
      <c r="L5" s="52"/>
      <c r="M5" s="55"/>
    </row>
    <row r="6" spans="1:13" ht="12.75">
      <c r="A6" s="5" t="s">
        <v>2</v>
      </c>
      <c r="B6" s="21"/>
      <c r="C6" s="19" t="s">
        <v>245</v>
      </c>
      <c r="D6" s="50" t="s">
        <v>35</v>
      </c>
      <c r="E6" s="21"/>
      <c r="F6" s="50" t="s">
        <v>374</v>
      </c>
      <c r="G6" s="19" t="s">
        <v>34</v>
      </c>
      <c r="H6" s="50" t="s">
        <v>376</v>
      </c>
      <c r="I6" s="21"/>
      <c r="J6" s="21"/>
      <c r="K6" s="21"/>
      <c r="L6" s="52"/>
      <c r="M6" s="55"/>
    </row>
    <row r="7" spans="1:13" ht="12.75">
      <c r="A7" s="4"/>
      <c r="B7" s="21"/>
      <c r="C7" s="21"/>
      <c r="D7" s="21"/>
      <c r="E7" s="21"/>
      <c r="F7" s="21"/>
      <c r="G7" s="21"/>
      <c r="H7" s="21"/>
      <c r="I7" s="21"/>
      <c r="J7" s="21"/>
      <c r="K7" s="21"/>
      <c r="L7" s="52"/>
      <c r="M7" s="55"/>
    </row>
    <row r="8" spans="1:13" ht="12.75">
      <c r="A8" s="5" t="s">
        <v>4</v>
      </c>
      <c r="B8" s="21"/>
      <c r="C8" s="19" t="s">
        <v>72</v>
      </c>
      <c r="D8" s="50" t="s">
        <v>371</v>
      </c>
      <c r="E8" s="21"/>
      <c r="F8" s="50" t="s">
        <v>375</v>
      </c>
      <c r="G8" s="19" t="s">
        <v>36</v>
      </c>
      <c r="H8" s="50" t="s">
        <v>376</v>
      </c>
      <c r="I8" s="21"/>
      <c r="J8" s="21"/>
      <c r="K8" s="21"/>
      <c r="L8" s="52"/>
      <c r="M8" s="55"/>
    </row>
    <row r="9" spans="1:13" ht="12.75">
      <c r="A9" s="9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38"/>
      <c r="M9" s="55"/>
    </row>
    <row r="10" spans="1:64" ht="12" customHeight="1">
      <c r="A10" s="92" t="s">
        <v>71</v>
      </c>
      <c r="B10" s="102" t="s">
        <v>181</v>
      </c>
      <c r="C10" s="111" t="s">
        <v>246</v>
      </c>
      <c r="D10" s="116"/>
      <c r="E10" s="116"/>
      <c r="F10" s="116"/>
      <c r="G10" s="116"/>
      <c r="H10" s="126"/>
      <c r="I10" s="102" t="s">
        <v>378</v>
      </c>
      <c r="J10" s="131" t="s">
        <v>387</v>
      </c>
      <c r="K10" s="135" t="s">
        <v>388</v>
      </c>
      <c r="L10" s="139" t="s">
        <v>390</v>
      </c>
      <c r="M10" s="56"/>
      <c r="BK10" s="143" t="s">
        <v>436</v>
      </c>
      <c r="BL10" s="148" t="s">
        <v>439</v>
      </c>
    </row>
    <row r="11" spans="1:62" ht="12" customHeight="1">
      <c r="A11" s="158" t="s">
        <v>72</v>
      </c>
      <c r="B11" s="160" t="s">
        <v>72</v>
      </c>
      <c r="C11" s="161" t="s">
        <v>247</v>
      </c>
      <c r="D11" s="117"/>
      <c r="E11" s="117"/>
      <c r="F11" s="117"/>
      <c r="G11" s="117"/>
      <c r="H11" s="162"/>
      <c r="I11" s="160" t="s">
        <v>72</v>
      </c>
      <c r="J11" s="160" t="s">
        <v>72</v>
      </c>
      <c r="K11" s="163" t="s">
        <v>389</v>
      </c>
      <c r="L11" s="165" t="s">
        <v>391</v>
      </c>
      <c r="M11" s="56"/>
      <c r="Z11" s="143" t="s">
        <v>392</v>
      </c>
      <c r="AA11" s="143" t="s">
        <v>393</v>
      </c>
      <c r="AB11" s="143" t="s">
        <v>394</v>
      </c>
      <c r="AC11" s="143" t="s">
        <v>395</v>
      </c>
      <c r="AD11" s="143" t="s">
        <v>396</v>
      </c>
      <c r="AE11" s="143" t="s">
        <v>397</v>
      </c>
      <c r="AF11" s="143" t="s">
        <v>398</v>
      </c>
      <c r="AG11" s="143" t="s">
        <v>399</v>
      </c>
      <c r="AH11" s="143" t="s">
        <v>400</v>
      </c>
      <c r="BH11" s="143" t="s">
        <v>433</v>
      </c>
      <c r="BI11" s="143" t="s">
        <v>434</v>
      </c>
      <c r="BJ11" s="143" t="s">
        <v>435</v>
      </c>
    </row>
    <row r="12" spans="1:13" ht="12" customHeight="1">
      <c r="A12" s="167"/>
      <c r="B12" s="170"/>
      <c r="C12" s="159" t="s">
        <v>248</v>
      </c>
      <c r="D12" s="118"/>
      <c r="E12" s="118"/>
      <c r="F12" s="118"/>
      <c r="G12" s="118"/>
      <c r="H12" s="173"/>
      <c r="I12" s="167" t="s">
        <v>72</v>
      </c>
      <c r="J12" s="167" t="s">
        <v>72</v>
      </c>
      <c r="K12" s="167" t="s">
        <v>72</v>
      </c>
      <c r="L12" s="164">
        <f>L13+L41+L45+L54+L57+L78+L91+L108+L115+L118</f>
        <v>0</v>
      </c>
      <c r="M12" s="166"/>
    </row>
    <row r="13" spans="1:47" ht="12" customHeight="1">
      <c r="A13" s="179"/>
      <c r="B13" s="180" t="s">
        <v>182</v>
      </c>
      <c r="C13" s="168" t="s">
        <v>249</v>
      </c>
      <c r="D13" s="119"/>
      <c r="E13" s="119"/>
      <c r="F13" s="119"/>
      <c r="G13" s="119"/>
      <c r="H13" s="182"/>
      <c r="I13" s="179" t="s">
        <v>72</v>
      </c>
      <c r="J13" s="179" t="s">
        <v>72</v>
      </c>
      <c r="K13" s="179" t="s">
        <v>72</v>
      </c>
      <c r="L13" s="175">
        <f>SUM(L14:L39)</f>
        <v>0</v>
      </c>
      <c r="M13" s="166"/>
      <c r="AI13" s="143" t="s">
        <v>401</v>
      </c>
      <c r="AS13" s="156">
        <f>SUM(AJ14:AJ39)</f>
        <v>0</v>
      </c>
      <c r="AT13" s="156">
        <f>SUM(AK14:AK39)</f>
        <v>0</v>
      </c>
      <c r="AU13" s="156">
        <f>SUM(AL14:AL39)</f>
        <v>0</v>
      </c>
    </row>
    <row r="14" spans="1:64" ht="12" customHeight="1">
      <c r="A14" s="181" t="s">
        <v>73</v>
      </c>
      <c r="B14" s="181" t="s">
        <v>183</v>
      </c>
      <c r="C14" s="178" t="s">
        <v>250</v>
      </c>
      <c r="D14" s="120"/>
      <c r="E14" s="120"/>
      <c r="F14" s="120"/>
      <c r="G14" s="120"/>
      <c r="H14" s="183"/>
      <c r="I14" s="181" t="s">
        <v>379</v>
      </c>
      <c r="J14" s="186">
        <v>30</v>
      </c>
      <c r="K14" s="186">
        <v>0</v>
      </c>
      <c r="L14" s="185">
        <f>J14*K14</f>
        <v>0</v>
      </c>
      <c r="M14" s="166"/>
      <c r="Z14" s="144">
        <f>IF(AQ14="5",BJ14,0)</f>
        <v>0</v>
      </c>
      <c r="AB14" s="144">
        <f>IF(AQ14="1",BH14,0)</f>
        <v>0</v>
      </c>
      <c r="AC14" s="144">
        <f>IF(AQ14="1",BI14,0)</f>
        <v>0</v>
      </c>
      <c r="AD14" s="144">
        <f>IF(AQ14="7",BH14,0)</f>
        <v>0</v>
      </c>
      <c r="AE14" s="144">
        <f>IF(AQ14="7",BI14,0)</f>
        <v>0</v>
      </c>
      <c r="AF14" s="144">
        <f>IF(AQ14="2",BH14,0)</f>
        <v>0</v>
      </c>
      <c r="AG14" s="144">
        <f>IF(AQ14="2",BI14,0)</f>
        <v>0</v>
      </c>
      <c r="AH14" s="144">
        <f>IF(AQ14="0",BJ14,0)</f>
        <v>0</v>
      </c>
      <c r="AI14" s="143" t="s">
        <v>401</v>
      </c>
      <c r="AJ14" s="132">
        <f>IF(AN14=0,L14,0)</f>
        <v>0</v>
      </c>
      <c r="AK14" s="132">
        <f>IF(AN14=15,L14,0)</f>
        <v>0</v>
      </c>
      <c r="AL14" s="132">
        <f>IF(AN14=21,L14,0)</f>
        <v>0</v>
      </c>
      <c r="AN14" s="144">
        <v>21</v>
      </c>
      <c r="AO14" s="144">
        <f>K14*0</f>
        <v>0</v>
      </c>
      <c r="AP14" s="144">
        <f>K14*(1-0)</f>
        <v>0</v>
      </c>
      <c r="AQ14" s="145" t="s">
        <v>73</v>
      </c>
      <c r="AV14" s="144">
        <f>AW14+AX14</f>
        <v>0</v>
      </c>
      <c r="AW14" s="144">
        <f>J14*AO14</f>
        <v>0</v>
      </c>
      <c r="AX14" s="144">
        <f>J14*AP14</f>
        <v>0</v>
      </c>
      <c r="AY14" s="147" t="s">
        <v>403</v>
      </c>
      <c r="AZ14" s="147" t="s">
        <v>413</v>
      </c>
      <c r="BA14" s="143" t="s">
        <v>431</v>
      </c>
      <c r="BC14" s="144">
        <f>AW14+AX14</f>
        <v>0</v>
      </c>
      <c r="BD14" s="144">
        <f>K14/(100-BE14)*100</f>
        <v>0</v>
      </c>
      <c r="BE14" s="144">
        <v>0</v>
      </c>
      <c r="BF14" s="144">
        <f>14</f>
        <v>14</v>
      </c>
      <c r="BH14" s="132">
        <f>J14*AO14</f>
        <v>0</v>
      </c>
      <c r="BI14" s="132">
        <f>J14*AP14</f>
        <v>0</v>
      </c>
      <c r="BJ14" s="132">
        <f>J14*K14</f>
        <v>0</v>
      </c>
      <c r="BK14" s="132" t="s">
        <v>437</v>
      </c>
      <c r="BL14" s="144">
        <v>1</v>
      </c>
    </row>
    <row r="15" spans="1:13" ht="12.75" customHeight="1">
      <c r="A15" s="55"/>
      <c r="B15" s="107" t="s">
        <v>184</v>
      </c>
      <c r="C15" s="113" t="s">
        <v>251</v>
      </c>
      <c r="D15" s="121"/>
      <c r="E15" s="121"/>
      <c r="F15" s="121"/>
      <c r="G15" s="121"/>
      <c r="H15" s="121"/>
      <c r="I15" s="121"/>
      <c r="J15" s="121"/>
      <c r="K15" s="121"/>
      <c r="L15" s="141"/>
      <c r="M15" s="55"/>
    </row>
    <row r="16" spans="1:64" ht="12" customHeight="1">
      <c r="A16" s="181" t="s">
        <v>74</v>
      </c>
      <c r="B16" s="181" t="s">
        <v>185</v>
      </c>
      <c r="C16" s="178" t="s">
        <v>252</v>
      </c>
      <c r="D16" s="120"/>
      <c r="E16" s="120"/>
      <c r="F16" s="120"/>
      <c r="G16" s="120"/>
      <c r="H16" s="183"/>
      <c r="I16" s="181" t="s">
        <v>379</v>
      </c>
      <c r="J16" s="186">
        <v>30</v>
      </c>
      <c r="K16" s="186">
        <v>0</v>
      </c>
      <c r="L16" s="185">
        <f>J16*K16</f>
        <v>0</v>
      </c>
      <c r="M16" s="166"/>
      <c r="Z16" s="144">
        <f>IF(AQ16="5",BJ16,0)</f>
        <v>0</v>
      </c>
      <c r="AB16" s="144">
        <f>IF(AQ16="1",BH16,0)</f>
        <v>0</v>
      </c>
      <c r="AC16" s="144">
        <f>IF(AQ16="1",BI16,0)</f>
        <v>0</v>
      </c>
      <c r="AD16" s="144">
        <f>IF(AQ16="7",BH16,0)</f>
        <v>0</v>
      </c>
      <c r="AE16" s="144">
        <f>IF(AQ16="7",BI16,0)</f>
        <v>0</v>
      </c>
      <c r="AF16" s="144">
        <f>IF(AQ16="2",BH16,0)</f>
        <v>0</v>
      </c>
      <c r="AG16" s="144">
        <f>IF(AQ16="2",BI16,0)</f>
        <v>0</v>
      </c>
      <c r="AH16" s="144">
        <f>IF(AQ16="0",BJ16,0)</f>
        <v>0</v>
      </c>
      <c r="AI16" s="143" t="s">
        <v>401</v>
      </c>
      <c r="AJ16" s="132">
        <f>IF(AN16=0,L16,0)</f>
        <v>0</v>
      </c>
      <c r="AK16" s="132">
        <f>IF(AN16=15,L16,0)</f>
        <v>0</v>
      </c>
      <c r="AL16" s="132">
        <f>IF(AN16=21,L16,0)</f>
        <v>0</v>
      </c>
      <c r="AN16" s="144">
        <v>21</v>
      </c>
      <c r="AO16" s="144">
        <f>K16*0</f>
        <v>0</v>
      </c>
      <c r="AP16" s="144">
        <f>K16*(1-0)</f>
        <v>0</v>
      </c>
      <c r="AQ16" s="145" t="s">
        <v>73</v>
      </c>
      <c r="AV16" s="144">
        <f>AW16+AX16</f>
        <v>0</v>
      </c>
      <c r="AW16" s="144">
        <f>J16*AO16</f>
        <v>0</v>
      </c>
      <c r="AX16" s="144">
        <f>J16*AP16</f>
        <v>0</v>
      </c>
      <c r="AY16" s="147" t="s">
        <v>403</v>
      </c>
      <c r="AZ16" s="147" t="s">
        <v>413</v>
      </c>
      <c r="BA16" s="143" t="s">
        <v>431</v>
      </c>
      <c r="BC16" s="144">
        <f>AW16+AX16</f>
        <v>0</v>
      </c>
      <c r="BD16" s="144">
        <f>K16/(100-BE16)*100</f>
        <v>0</v>
      </c>
      <c r="BE16" s="144">
        <v>0</v>
      </c>
      <c r="BF16" s="144">
        <f>16</f>
        <v>16</v>
      </c>
      <c r="BH16" s="132">
        <f>J16*AO16</f>
        <v>0</v>
      </c>
      <c r="BI16" s="132">
        <f>J16*AP16</f>
        <v>0</v>
      </c>
      <c r="BJ16" s="132">
        <f>J16*K16</f>
        <v>0</v>
      </c>
      <c r="BK16" s="132" t="s">
        <v>437</v>
      </c>
      <c r="BL16" s="144">
        <v>1</v>
      </c>
    </row>
    <row r="17" spans="1:13" ht="12.75" customHeight="1">
      <c r="A17" s="55"/>
      <c r="B17" s="107" t="s">
        <v>186</v>
      </c>
      <c r="C17" s="114" t="s">
        <v>253</v>
      </c>
      <c r="D17" s="122"/>
      <c r="E17" s="122"/>
      <c r="F17" s="122"/>
      <c r="G17" s="122"/>
      <c r="H17" s="122"/>
      <c r="I17" s="122"/>
      <c r="J17" s="122"/>
      <c r="K17" s="122"/>
      <c r="L17" s="142"/>
      <c r="M17" s="55"/>
    </row>
    <row r="18" spans="1:64" ht="12" customHeight="1">
      <c r="A18" s="181" t="s">
        <v>75</v>
      </c>
      <c r="B18" s="181" t="s">
        <v>187</v>
      </c>
      <c r="C18" s="178" t="s">
        <v>254</v>
      </c>
      <c r="D18" s="120"/>
      <c r="E18" s="120"/>
      <c r="F18" s="120"/>
      <c r="G18" s="120"/>
      <c r="H18" s="183"/>
      <c r="I18" s="181" t="s">
        <v>380</v>
      </c>
      <c r="J18" s="186">
        <v>2.0016</v>
      </c>
      <c r="K18" s="186">
        <v>0</v>
      </c>
      <c r="L18" s="185">
        <f>J18*K18</f>
        <v>0</v>
      </c>
      <c r="M18" s="166"/>
      <c r="Z18" s="144">
        <f>IF(AQ18="5",BJ18,0)</f>
        <v>0</v>
      </c>
      <c r="AB18" s="144">
        <f>IF(AQ18="1",BH18,0)</f>
        <v>0</v>
      </c>
      <c r="AC18" s="144">
        <f>IF(AQ18="1",BI18,0)</f>
        <v>0</v>
      </c>
      <c r="AD18" s="144">
        <f>IF(AQ18="7",BH18,0)</f>
        <v>0</v>
      </c>
      <c r="AE18" s="144">
        <f>IF(AQ18="7",BI18,0)</f>
        <v>0</v>
      </c>
      <c r="AF18" s="144">
        <f>IF(AQ18="2",BH18,0)</f>
        <v>0</v>
      </c>
      <c r="AG18" s="144">
        <f>IF(AQ18="2",BI18,0)</f>
        <v>0</v>
      </c>
      <c r="AH18" s="144">
        <f>IF(AQ18="0",BJ18,0)</f>
        <v>0</v>
      </c>
      <c r="AI18" s="143" t="s">
        <v>401</v>
      </c>
      <c r="AJ18" s="132">
        <f>IF(AN18=0,L18,0)</f>
        <v>0</v>
      </c>
      <c r="AK18" s="132">
        <f>IF(AN18=15,L18,0)</f>
        <v>0</v>
      </c>
      <c r="AL18" s="132">
        <f>IF(AN18=21,L18,0)</f>
        <v>0</v>
      </c>
      <c r="AN18" s="144">
        <v>21</v>
      </c>
      <c r="AO18" s="144">
        <f>K18*0</f>
        <v>0</v>
      </c>
      <c r="AP18" s="144">
        <f>K18*(1-0)</f>
        <v>0</v>
      </c>
      <c r="AQ18" s="145" t="s">
        <v>73</v>
      </c>
      <c r="AV18" s="144">
        <f>AW18+AX18</f>
        <v>0</v>
      </c>
      <c r="AW18" s="144">
        <f>J18*AO18</f>
        <v>0</v>
      </c>
      <c r="AX18" s="144">
        <f>J18*AP18</f>
        <v>0</v>
      </c>
      <c r="AY18" s="147" t="s">
        <v>403</v>
      </c>
      <c r="AZ18" s="147" t="s">
        <v>413</v>
      </c>
      <c r="BA18" s="143" t="s">
        <v>431</v>
      </c>
      <c r="BC18" s="144">
        <f>AW18+AX18</f>
        <v>0</v>
      </c>
      <c r="BD18" s="144">
        <f>K18/(100-BE18)*100</f>
        <v>0</v>
      </c>
      <c r="BE18" s="144">
        <v>0</v>
      </c>
      <c r="BF18" s="144">
        <f>18</f>
        <v>18</v>
      </c>
      <c r="BH18" s="132">
        <f>J18*AO18</f>
        <v>0</v>
      </c>
      <c r="BI18" s="132">
        <f>J18*AP18</f>
        <v>0</v>
      </c>
      <c r="BJ18" s="132">
        <f>J18*K18</f>
        <v>0</v>
      </c>
      <c r="BK18" s="132" t="s">
        <v>437</v>
      </c>
      <c r="BL18" s="144">
        <v>1</v>
      </c>
    </row>
    <row r="19" spans="1:13" ht="12.75" customHeight="1">
      <c r="A19" s="55"/>
      <c r="B19" s="107" t="s">
        <v>186</v>
      </c>
      <c r="C19" s="114" t="s">
        <v>255</v>
      </c>
      <c r="D19" s="122"/>
      <c r="E19" s="122"/>
      <c r="F19" s="122"/>
      <c r="G19" s="122"/>
      <c r="H19" s="122"/>
      <c r="I19" s="122"/>
      <c r="J19" s="122"/>
      <c r="K19" s="122"/>
      <c r="L19" s="142"/>
      <c r="M19" s="55"/>
    </row>
    <row r="20" spans="1:13" ht="25.5" customHeight="1">
      <c r="A20" s="55"/>
      <c r="B20" s="107" t="s">
        <v>184</v>
      </c>
      <c r="C20" s="113" t="s">
        <v>256</v>
      </c>
      <c r="D20" s="121"/>
      <c r="E20" s="121"/>
      <c r="F20" s="121"/>
      <c r="G20" s="121"/>
      <c r="H20" s="121"/>
      <c r="I20" s="121"/>
      <c r="J20" s="121"/>
      <c r="K20" s="121"/>
      <c r="L20" s="141"/>
      <c r="M20" s="55"/>
    </row>
    <row r="21" spans="1:64" ht="12" customHeight="1">
      <c r="A21" s="187" t="s">
        <v>76</v>
      </c>
      <c r="B21" s="187" t="s">
        <v>188</v>
      </c>
      <c r="C21" s="177" t="s">
        <v>257</v>
      </c>
      <c r="D21" s="120"/>
      <c r="E21" s="120"/>
      <c r="F21" s="120"/>
      <c r="G21" s="120"/>
      <c r="H21" s="188"/>
      <c r="I21" s="187" t="s">
        <v>379</v>
      </c>
      <c r="J21" s="189">
        <v>31.275</v>
      </c>
      <c r="K21" s="189">
        <v>0</v>
      </c>
      <c r="L21" s="184">
        <f>J21*K21</f>
        <v>0</v>
      </c>
      <c r="M21" s="166"/>
      <c r="Z21" s="144">
        <f>IF(AQ21="5",BJ21,0)</f>
        <v>0</v>
      </c>
      <c r="AB21" s="144">
        <f>IF(AQ21="1",BH21,0)</f>
        <v>0</v>
      </c>
      <c r="AC21" s="144">
        <f>IF(AQ21="1",BI21,0)</f>
        <v>0</v>
      </c>
      <c r="AD21" s="144">
        <f>IF(AQ21="7",BH21,0)</f>
        <v>0</v>
      </c>
      <c r="AE21" s="144">
        <f>IF(AQ21="7",BI21,0)</f>
        <v>0</v>
      </c>
      <c r="AF21" s="144">
        <f>IF(AQ21="2",BH21,0)</f>
        <v>0</v>
      </c>
      <c r="AG21" s="144">
        <f>IF(AQ21="2",BI21,0)</f>
        <v>0</v>
      </c>
      <c r="AH21" s="144">
        <f>IF(AQ21="0",BJ21,0)</f>
        <v>0</v>
      </c>
      <c r="AI21" s="143" t="s">
        <v>401</v>
      </c>
      <c r="AJ21" s="132">
        <f>IF(AN21=0,L21,0)</f>
        <v>0</v>
      </c>
      <c r="AK21" s="132">
        <f>IF(AN21=15,L21,0)</f>
        <v>0</v>
      </c>
      <c r="AL21" s="132">
        <f>IF(AN21=21,L21,0)</f>
        <v>0</v>
      </c>
      <c r="AN21" s="144">
        <v>21</v>
      </c>
      <c r="AO21" s="144">
        <f>K21*0</f>
        <v>0</v>
      </c>
      <c r="AP21" s="144">
        <f>K21*(1-0)</f>
        <v>0</v>
      </c>
      <c r="AQ21" s="145" t="s">
        <v>73</v>
      </c>
      <c r="AV21" s="144">
        <f>AW21+AX21</f>
        <v>0</v>
      </c>
      <c r="AW21" s="144">
        <f>J21*AO21</f>
        <v>0</v>
      </c>
      <c r="AX21" s="144">
        <f>J21*AP21</f>
        <v>0</v>
      </c>
      <c r="AY21" s="147" t="s">
        <v>403</v>
      </c>
      <c r="AZ21" s="147" t="s">
        <v>413</v>
      </c>
      <c r="BA21" s="143" t="s">
        <v>431</v>
      </c>
      <c r="BC21" s="144">
        <f>AW21+AX21</f>
        <v>0</v>
      </c>
      <c r="BD21" s="144">
        <f>K21/(100-BE21)*100</f>
        <v>0</v>
      </c>
      <c r="BE21" s="144">
        <v>0</v>
      </c>
      <c r="BF21" s="144">
        <f>21</f>
        <v>21</v>
      </c>
      <c r="BH21" s="132">
        <f>J21*AO21</f>
        <v>0</v>
      </c>
      <c r="BI21" s="132">
        <f>J21*AP21</f>
        <v>0</v>
      </c>
      <c r="BJ21" s="132">
        <f>J21*K21</f>
        <v>0</v>
      </c>
      <c r="BK21" s="132" t="s">
        <v>437</v>
      </c>
      <c r="BL21" s="144">
        <v>1</v>
      </c>
    </row>
    <row r="22" spans="1:64" ht="12" customHeight="1">
      <c r="A22" s="181" t="s">
        <v>77</v>
      </c>
      <c r="B22" s="181" t="s">
        <v>189</v>
      </c>
      <c r="C22" s="178" t="s">
        <v>258</v>
      </c>
      <c r="D22" s="120"/>
      <c r="E22" s="120"/>
      <c r="F22" s="120"/>
      <c r="G22" s="120"/>
      <c r="H22" s="183"/>
      <c r="I22" s="181" t="s">
        <v>381</v>
      </c>
      <c r="J22" s="186">
        <v>6</v>
      </c>
      <c r="K22" s="186">
        <v>0</v>
      </c>
      <c r="L22" s="185">
        <f>J22*K22</f>
        <v>0</v>
      </c>
      <c r="M22" s="166"/>
      <c r="Z22" s="144">
        <f>IF(AQ22="5",BJ22,0)</f>
        <v>0</v>
      </c>
      <c r="AB22" s="144">
        <f>IF(AQ22="1",BH22,0)</f>
        <v>0</v>
      </c>
      <c r="AC22" s="144">
        <f>IF(AQ22="1",BI22,0)</f>
        <v>0</v>
      </c>
      <c r="AD22" s="144">
        <f>IF(AQ22="7",BH22,0)</f>
        <v>0</v>
      </c>
      <c r="AE22" s="144">
        <f>IF(AQ22="7",BI22,0)</f>
        <v>0</v>
      </c>
      <c r="AF22" s="144">
        <f>IF(AQ22="2",BH22,0)</f>
        <v>0</v>
      </c>
      <c r="AG22" s="144">
        <f>IF(AQ22="2",BI22,0)</f>
        <v>0</v>
      </c>
      <c r="AH22" s="144">
        <f>IF(AQ22="0",BJ22,0)</f>
        <v>0</v>
      </c>
      <c r="AI22" s="143" t="s">
        <v>401</v>
      </c>
      <c r="AJ22" s="132">
        <f>IF(AN22=0,L22,0)</f>
        <v>0</v>
      </c>
      <c r="AK22" s="132">
        <f>IF(AN22=15,L22,0)</f>
        <v>0</v>
      </c>
      <c r="AL22" s="132">
        <f>IF(AN22=21,L22,0)</f>
        <v>0</v>
      </c>
      <c r="AN22" s="144">
        <v>21</v>
      </c>
      <c r="AO22" s="144">
        <f>K22*0.157280929487179</f>
        <v>0</v>
      </c>
      <c r="AP22" s="144">
        <f>K22*(1-0.157280929487179)</f>
        <v>0</v>
      </c>
      <c r="AQ22" s="145" t="s">
        <v>73</v>
      </c>
      <c r="AV22" s="144">
        <f>AW22+AX22</f>
        <v>0</v>
      </c>
      <c r="AW22" s="144">
        <f>J22*AO22</f>
        <v>0</v>
      </c>
      <c r="AX22" s="144">
        <f>J22*AP22</f>
        <v>0</v>
      </c>
      <c r="AY22" s="147" t="s">
        <v>403</v>
      </c>
      <c r="AZ22" s="147" t="s">
        <v>413</v>
      </c>
      <c r="BA22" s="143" t="s">
        <v>431</v>
      </c>
      <c r="BC22" s="144">
        <f>AW22+AX22</f>
        <v>0</v>
      </c>
      <c r="BD22" s="144">
        <f>K22/(100-BE22)*100</f>
        <v>0</v>
      </c>
      <c r="BE22" s="144">
        <v>0</v>
      </c>
      <c r="BF22" s="144">
        <f>22</f>
        <v>22</v>
      </c>
      <c r="BH22" s="132">
        <f>J22*AO22</f>
        <v>0</v>
      </c>
      <c r="BI22" s="132">
        <f>J22*AP22</f>
        <v>0</v>
      </c>
      <c r="BJ22" s="132">
        <f>J22*K22</f>
        <v>0</v>
      </c>
      <c r="BK22" s="132" t="s">
        <v>437</v>
      </c>
      <c r="BL22" s="144">
        <v>1</v>
      </c>
    </row>
    <row r="23" spans="1:13" ht="12.75" customHeight="1">
      <c r="A23" s="55"/>
      <c r="B23" s="107" t="s">
        <v>186</v>
      </c>
      <c r="C23" s="114" t="s">
        <v>259</v>
      </c>
      <c r="D23" s="122"/>
      <c r="E23" s="122"/>
      <c r="F23" s="122"/>
      <c r="G23" s="122"/>
      <c r="H23" s="122"/>
      <c r="I23" s="122"/>
      <c r="J23" s="122"/>
      <c r="K23" s="122"/>
      <c r="L23" s="142"/>
      <c r="M23" s="55"/>
    </row>
    <row r="24" spans="1:64" ht="12" customHeight="1">
      <c r="A24" s="96" t="s">
        <v>78</v>
      </c>
      <c r="B24" s="106" t="s">
        <v>190</v>
      </c>
      <c r="C24" s="106" t="s">
        <v>260</v>
      </c>
      <c r="D24" s="120"/>
      <c r="E24" s="120"/>
      <c r="F24" s="120"/>
      <c r="G24" s="120"/>
      <c r="H24" s="120"/>
      <c r="I24" s="106" t="s">
        <v>380</v>
      </c>
      <c r="J24" s="132">
        <v>1.2</v>
      </c>
      <c r="K24" s="132">
        <v>0</v>
      </c>
      <c r="L24" s="151">
        <f>J24*K24</f>
        <v>0</v>
      </c>
      <c r="M24" s="55"/>
      <c r="Z24" s="144">
        <f>IF(AQ24="5",BJ24,0)</f>
        <v>0</v>
      </c>
      <c r="AB24" s="144">
        <f>IF(AQ24="1",BH24,0)</f>
        <v>0</v>
      </c>
      <c r="AC24" s="144">
        <f>IF(AQ24="1",BI24,0)</f>
        <v>0</v>
      </c>
      <c r="AD24" s="144">
        <f>IF(AQ24="7",BH24,0)</f>
        <v>0</v>
      </c>
      <c r="AE24" s="144">
        <f>IF(AQ24="7",BI24,0)</f>
        <v>0</v>
      </c>
      <c r="AF24" s="144">
        <f>IF(AQ24="2",BH24,0)</f>
        <v>0</v>
      </c>
      <c r="AG24" s="144">
        <f>IF(AQ24="2",BI24,0)</f>
        <v>0</v>
      </c>
      <c r="AH24" s="144">
        <f>IF(AQ24="0",BJ24,0)</f>
        <v>0</v>
      </c>
      <c r="AI24" s="143" t="s">
        <v>401</v>
      </c>
      <c r="AJ24" s="132">
        <f>IF(AN24=0,L24,0)</f>
        <v>0</v>
      </c>
      <c r="AK24" s="132">
        <f>IF(AN24=15,L24,0)</f>
        <v>0</v>
      </c>
      <c r="AL24" s="132">
        <f>IF(AN24=21,L24,0)</f>
        <v>0</v>
      </c>
      <c r="AN24" s="144">
        <v>21</v>
      </c>
      <c r="AO24" s="144">
        <f>K24*0</f>
        <v>0</v>
      </c>
      <c r="AP24" s="144">
        <f>K24*(1-0)</f>
        <v>0</v>
      </c>
      <c r="AQ24" s="145" t="s">
        <v>73</v>
      </c>
      <c r="AV24" s="144">
        <f>AW24+AX24</f>
        <v>0</v>
      </c>
      <c r="AW24" s="144">
        <f>J24*AO24</f>
        <v>0</v>
      </c>
      <c r="AX24" s="144">
        <f>J24*AP24</f>
        <v>0</v>
      </c>
      <c r="AY24" s="147" t="s">
        <v>403</v>
      </c>
      <c r="AZ24" s="147" t="s">
        <v>413</v>
      </c>
      <c r="BA24" s="143" t="s">
        <v>431</v>
      </c>
      <c r="BC24" s="144">
        <f>AW24+AX24</f>
        <v>0</v>
      </c>
      <c r="BD24" s="144">
        <f>K24/(100-BE24)*100</f>
        <v>0</v>
      </c>
      <c r="BE24" s="144">
        <v>0</v>
      </c>
      <c r="BF24" s="144">
        <f>24</f>
        <v>24</v>
      </c>
      <c r="BH24" s="132">
        <f>J24*AO24</f>
        <v>0</v>
      </c>
      <c r="BI24" s="132">
        <f>J24*AP24</f>
        <v>0</v>
      </c>
      <c r="BJ24" s="132">
        <f>J24*K24</f>
        <v>0</v>
      </c>
      <c r="BK24" s="132" t="s">
        <v>437</v>
      </c>
      <c r="BL24" s="144">
        <v>1</v>
      </c>
    </row>
    <row r="25" spans="1:13" ht="12.75" customHeight="1">
      <c r="A25" s="55"/>
      <c r="B25" s="107" t="s">
        <v>186</v>
      </c>
      <c r="C25" s="114" t="s">
        <v>261</v>
      </c>
      <c r="D25" s="122"/>
      <c r="E25" s="122"/>
      <c r="F25" s="122"/>
      <c r="G25" s="122"/>
      <c r="H25" s="122"/>
      <c r="I25" s="122"/>
      <c r="J25" s="122"/>
      <c r="K25" s="122"/>
      <c r="L25" s="142"/>
      <c r="M25" s="55"/>
    </row>
    <row r="26" spans="1:13" ht="25.5" customHeight="1">
      <c r="A26" s="55"/>
      <c r="B26" s="107" t="s">
        <v>184</v>
      </c>
      <c r="C26" s="113" t="s">
        <v>262</v>
      </c>
      <c r="D26" s="121"/>
      <c r="E26" s="121"/>
      <c r="F26" s="121"/>
      <c r="G26" s="121"/>
      <c r="H26" s="121"/>
      <c r="I26" s="121"/>
      <c r="J26" s="121"/>
      <c r="K26" s="121"/>
      <c r="L26" s="141"/>
      <c r="M26" s="55"/>
    </row>
    <row r="27" spans="1:64" ht="12" customHeight="1">
      <c r="A27" s="96" t="s">
        <v>79</v>
      </c>
      <c r="B27" s="106" t="s">
        <v>191</v>
      </c>
      <c r="C27" s="106" t="s">
        <v>263</v>
      </c>
      <c r="D27" s="120"/>
      <c r="E27" s="120"/>
      <c r="F27" s="120"/>
      <c r="G27" s="120"/>
      <c r="H27" s="120"/>
      <c r="I27" s="106" t="s">
        <v>381</v>
      </c>
      <c r="J27" s="132">
        <v>3</v>
      </c>
      <c r="K27" s="132">
        <v>0</v>
      </c>
      <c r="L27" s="151">
        <f>J27*K27</f>
        <v>0</v>
      </c>
      <c r="M27" s="55"/>
      <c r="Z27" s="144">
        <f>IF(AQ27="5",BJ27,0)</f>
        <v>0</v>
      </c>
      <c r="AB27" s="144">
        <f>IF(AQ27="1",BH27,0)</f>
        <v>0</v>
      </c>
      <c r="AC27" s="144">
        <f>IF(AQ27="1",BI27,0)</f>
        <v>0</v>
      </c>
      <c r="AD27" s="144">
        <f>IF(AQ27="7",BH27,0)</f>
        <v>0</v>
      </c>
      <c r="AE27" s="144">
        <f>IF(AQ27="7",BI27,0)</f>
        <v>0</v>
      </c>
      <c r="AF27" s="144">
        <f>IF(AQ27="2",BH27,0)</f>
        <v>0</v>
      </c>
      <c r="AG27" s="144">
        <f>IF(AQ27="2",BI27,0)</f>
        <v>0</v>
      </c>
      <c r="AH27" s="144">
        <f>IF(AQ27="0",BJ27,0)</f>
        <v>0</v>
      </c>
      <c r="AI27" s="143" t="s">
        <v>401</v>
      </c>
      <c r="AJ27" s="132">
        <f>IF(AN27=0,L27,0)</f>
        <v>0</v>
      </c>
      <c r="AK27" s="132">
        <f>IF(AN27=15,L27,0)</f>
        <v>0</v>
      </c>
      <c r="AL27" s="132">
        <f>IF(AN27=21,L27,0)</f>
        <v>0</v>
      </c>
      <c r="AN27" s="144">
        <v>21</v>
      </c>
      <c r="AO27" s="144">
        <f>K27*0.187149168096521</f>
        <v>0</v>
      </c>
      <c r="AP27" s="144">
        <f>K27*(1-0.187149168096521)</f>
        <v>0</v>
      </c>
      <c r="AQ27" s="145" t="s">
        <v>73</v>
      </c>
      <c r="AV27" s="144">
        <f>AW27+AX27</f>
        <v>0</v>
      </c>
      <c r="AW27" s="144">
        <f>J27*AO27</f>
        <v>0</v>
      </c>
      <c r="AX27" s="144">
        <f>J27*AP27</f>
        <v>0</v>
      </c>
      <c r="AY27" s="147" t="s">
        <v>403</v>
      </c>
      <c r="AZ27" s="147" t="s">
        <v>413</v>
      </c>
      <c r="BA27" s="143" t="s">
        <v>431</v>
      </c>
      <c r="BC27" s="144">
        <f>AW27+AX27</f>
        <v>0</v>
      </c>
      <c r="BD27" s="144">
        <f>K27/(100-BE27)*100</f>
        <v>0</v>
      </c>
      <c r="BE27" s="144">
        <v>0</v>
      </c>
      <c r="BF27" s="144">
        <f>27</f>
        <v>27</v>
      </c>
      <c r="BH27" s="132">
        <f>J27*AO27</f>
        <v>0</v>
      </c>
      <c r="BI27" s="132">
        <f>J27*AP27</f>
        <v>0</v>
      </c>
      <c r="BJ27" s="132">
        <f>J27*K27</f>
        <v>0</v>
      </c>
      <c r="BK27" s="132" t="s">
        <v>437</v>
      </c>
      <c r="BL27" s="144">
        <v>1</v>
      </c>
    </row>
    <row r="28" spans="1:13" ht="12.75" customHeight="1">
      <c r="A28" s="55"/>
      <c r="B28" s="107" t="s">
        <v>186</v>
      </c>
      <c r="C28" s="114" t="s">
        <v>264</v>
      </c>
      <c r="D28" s="122"/>
      <c r="E28" s="122"/>
      <c r="F28" s="122"/>
      <c r="G28" s="122"/>
      <c r="H28" s="122"/>
      <c r="I28" s="122"/>
      <c r="J28" s="122"/>
      <c r="K28" s="122"/>
      <c r="L28" s="142"/>
      <c r="M28" s="55"/>
    </row>
    <row r="29" spans="1:64" ht="12" customHeight="1">
      <c r="A29" s="96" t="s">
        <v>80</v>
      </c>
      <c r="B29" s="106" t="s">
        <v>192</v>
      </c>
      <c r="C29" s="106" t="s">
        <v>265</v>
      </c>
      <c r="D29" s="120"/>
      <c r="E29" s="120"/>
      <c r="F29" s="120"/>
      <c r="G29" s="120"/>
      <c r="H29" s="120"/>
      <c r="I29" s="106" t="s">
        <v>380</v>
      </c>
      <c r="J29" s="132">
        <v>0.75</v>
      </c>
      <c r="K29" s="132">
        <v>0</v>
      </c>
      <c r="L29" s="151">
        <f>J29*K29</f>
        <v>0</v>
      </c>
      <c r="M29" s="55"/>
      <c r="Z29" s="144">
        <f>IF(AQ29="5",BJ29,0)</f>
        <v>0</v>
      </c>
      <c r="AB29" s="144">
        <f>IF(AQ29="1",BH29,0)</f>
        <v>0</v>
      </c>
      <c r="AC29" s="144">
        <f>IF(AQ29="1",BI29,0)</f>
        <v>0</v>
      </c>
      <c r="AD29" s="144">
        <f>IF(AQ29="7",BH29,0)</f>
        <v>0</v>
      </c>
      <c r="AE29" s="144">
        <f>IF(AQ29="7",BI29,0)</f>
        <v>0</v>
      </c>
      <c r="AF29" s="144">
        <f>IF(AQ29="2",BH29,0)</f>
        <v>0</v>
      </c>
      <c r="AG29" s="144">
        <f>IF(AQ29="2",BI29,0)</f>
        <v>0</v>
      </c>
      <c r="AH29" s="144">
        <f>IF(AQ29="0",BJ29,0)</f>
        <v>0</v>
      </c>
      <c r="AI29" s="143" t="s">
        <v>401</v>
      </c>
      <c r="AJ29" s="132">
        <f>IF(AN29=0,L29,0)</f>
        <v>0</v>
      </c>
      <c r="AK29" s="132">
        <f>IF(AN29=15,L29,0)</f>
        <v>0</v>
      </c>
      <c r="AL29" s="132">
        <f>IF(AN29=21,L29,0)</f>
        <v>0</v>
      </c>
      <c r="AN29" s="144">
        <v>21</v>
      </c>
      <c r="AO29" s="144">
        <f>K29*0</f>
        <v>0</v>
      </c>
      <c r="AP29" s="144">
        <f>K29*(1-0)</f>
        <v>0</v>
      </c>
      <c r="AQ29" s="145" t="s">
        <v>73</v>
      </c>
      <c r="AV29" s="144">
        <f>AW29+AX29</f>
        <v>0</v>
      </c>
      <c r="AW29" s="144">
        <f>J29*AO29</f>
        <v>0</v>
      </c>
      <c r="AX29" s="144">
        <f>J29*AP29</f>
        <v>0</v>
      </c>
      <c r="AY29" s="147" t="s">
        <v>403</v>
      </c>
      <c r="AZ29" s="147" t="s">
        <v>413</v>
      </c>
      <c r="BA29" s="143" t="s">
        <v>431</v>
      </c>
      <c r="BC29" s="144">
        <f>AW29+AX29</f>
        <v>0</v>
      </c>
      <c r="BD29" s="144">
        <f>K29/(100-BE29)*100</f>
        <v>0</v>
      </c>
      <c r="BE29" s="144">
        <v>0</v>
      </c>
      <c r="BF29" s="144">
        <f>29</f>
        <v>29</v>
      </c>
      <c r="BH29" s="132">
        <f>J29*AO29</f>
        <v>0</v>
      </c>
      <c r="BI29" s="132">
        <f>J29*AP29</f>
        <v>0</v>
      </c>
      <c r="BJ29" s="132">
        <f>J29*K29</f>
        <v>0</v>
      </c>
      <c r="BK29" s="132" t="s">
        <v>437</v>
      </c>
      <c r="BL29" s="144">
        <v>1</v>
      </c>
    </row>
    <row r="30" spans="1:13" ht="12.75" customHeight="1">
      <c r="A30" s="55"/>
      <c r="B30" s="107" t="s">
        <v>186</v>
      </c>
      <c r="C30" s="114" t="s">
        <v>266</v>
      </c>
      <c r="D30" s="122"/>
      <c r="E30" s="122"/>
      <c r="F30" s="122"/>
      <c r="G30" s="122"/>
      <c r="H30" s="122"/>
      <c r="I30" s="122"/>
      <c r="J30" s="122"/>
      <c r="K30" s="122"/>
      <c r="L30" s="142"/>
      <c r="M30" s="55"/>
    </row>
    <row r="31" spans="1:64" ht="12" customHeight="1">
      <c r="A31" s="96" t="s">
        <v>81</v>
      </c>
      <c r="B31" s="106" t="s">
        <v>193</v>
      </c>
      <c r="C31" s="106" t="s">
        <v>267</v>
      </c>
      <c r="D31" s="120"/>
      <c r="E31" s="120"/>
      <c r="F31" s="120"/>
      <c r="G31" s="120"/>
      <c r="H31" s="120"/>
      <c r="I31" s="106" t="s">
        <v>381</v>
      </c>
      <c r="J31" s="132">
        <v>5</v>
      </c>
      <c r="K31" s="132">
        <v>0</v>
      </c>
      <c r="L31" s="151">
        <f>J31*K31</f>
        <v>0</v>
      </c>
      <c r="M31" s="55"/>
      <c r="Z31" s="144">
        <f>IF(AQ31="5",BJ31,0)</f>
        <v>0</v>
      </c>
      <c r="AB31" s="144">
        <f>IF(AQ31="1",BH31,0)</f>
        <v>0</v>
      </c>
      <c r="AC31" s="144">
        <f>IF(AQ31="1",BI31,0)</f>
        <v>0</v>
      </c>
      <c r="AD31" s="144">
        <f>IF(AQ31="7",BH31,0)</f>
        <v>0</v>
      </c>
      <c r="AE31" s="144">
        <f>IF(AQ31="7",BI31,0)</f>
        <v>0</v>
      </c>
      <c r="AF31" s="144">
        <f>IF(AQ31="2",BH31,0)</f>
        <v>0</v>
      </c>
      <c r="AG31" s="144">
        <f>IF(AQ31="2",BI31,0)</f>
        <v>0</v>
      </c>
      <c r="AH31" s="144">
        <f>IF(AQ31="0",BJ31,0)</f>
        <v>0</v>
      </c>
      <c r="AI31" s="143" t="s">
        <v>401</v>
      </c>
      <c r="AJ31" s="132">
        <f>IF(AN31=0,L31,0)</f>
        <v>0</v>
      </c>
      <c r="AK31" s="132">
        <f>IF(AN31=15,L31,0)</f>
        <v>0</v>
      </c>
      <c r="AL31" s="132">
        <f>IF(AN31=21,L31,0)</f>
        <v>0</v>
      </c>
      <c r="AN31" s="144">
        <v>21</v>
      </c>
      <c r="AO31" s="144">
        <f>K31*0.248822742863787</f>
        <v>0</v>
      </c>
      <c r="AP31" s="144">
        <f>K31*(1-0.248822742863787)</f>
        <v>0</v>
      </c>
      <c r="AQ31" s="145" t="s">
        <v>74</v>
      </c>
      <c r="AV31" s="144">
        <f>AW31+AX31</f>
        <v>0</v>
      </c>
      <c r="AW31" s="144">
        <f>J31*AO31</f>
        <v>0</v>
      </c>
      <c r="AX31" s="144">
        <f>J31*AP31</f>
        <v>0</v>
      </c>
      <c r="AY31" s="147" t="s">
        <v>403</v>
      </c>
      <c r="AZ31" s="147" t="s">
        <v>413</v>
      </c>
      <c r="BA31" s="143" t="s">
        <v>431</v>
      </c>
      <c r="BC31" s="144">
        <f>AW31+AX31</f>
        <v>0</v>
      </c>
      <c r="BD31" s="144">
        <f>K31/(100-BE31)*100</f>
        <v>0</v>
      </c>
      <c r="BE31" s="144">
        <v>0</v>
      </c>
      <c r="BF31" s="144">
        <f>31</f>
        <v>31</v>
      </c>
      <c r="BH31" s="132">
        <f>J31*AO31</f>
        <v>0</v>
      </c>
      <c r="BI31" s="132">
        <f>J31*AP31</f>
        <v>0</v>
      </c>
      <c r="BJ31" s="132">
        <f>J31*K31</f>
        <v>0</v>
      </c>
      <c r="BK31" s="132" t="s">
        <v>437</v>
      </c>
      <c r="BL31" s="144">
        <v>1</v>
      </c>
    </row>
    <row r="32" spans="1:13" ht="25.5" customHeight="1">
      <c r="A32" s="55"/>
      <c r="B32" s="107" t="s">
        <v>186</v>
      </c>
      <c r="C32" s="114" t="s">
        <v>268</v>
      </c>
      <c r="D32" s="122"/>
      <c r="E32" s="122"/>
      <c r="F32" s="122"/>
      <c r="G32" s="122"/>
      <c r="H32" s="122"/>
      <c r="I32" s="122"/>
      <c r="J32" s="122"/>
      <c r="K32" s="122"/>
      <c r="L32" s="142"/>
      <c r="M32" s="55"/>
    </row>
    <row r="33" spans="1:64" ht="12" customHeight="1">
      <c r="A33" s="96" t="s">
        <v>82</v>
      </c>
      <c r="B33" s="106" t="s">
        <v>194</v>
      </c>
      <c r="C33" s="106" t="s">
        <v>269</v>
      </c>
      <c r="D33" s="120"/>
      <c r="E33" s="120"/>
      <c r="F33" s="120"/>
      <c r="G33" s="120"/>
      <c r="H33" s="120"/>
      <c r="I33" s="106" t="s">
        <v>379</v>
      </c>
      <c r="J33" s="132">
        <v>5</v>
      </c>
      <c r="K33" s="132">
        <v>0</v>
      </c>
      <c r="L33" s="151">
        <f>J33*K33</f>
        <v>0</v>
      </c>
      <c r="M33" s="55"/>
      <c r="Z33" s="144">
        <f>IF(AQ33="5",BJ33,0)</f>
        <v>0</v>
      </c>
      <c r="AB33" s="144">
        <f>IF(AQ33="1",BH33,0)</f>
        <v>0</v>
      </c>
      <c r="AC33" s="144">
        <f>IF(AQ33="1",BI33,0)</f>
        <v>0</v>
      </c>
      <c r="AD33" s="144">
        <f>IF(AQ33="7",BH33,0)</f>
        <v>0</v>
      </c>
      <c r="AE33" s="144">
        <f>IF(AQ33="7",BI33,0)</f>
        <v>0</v>
      </c>
      <c r="AF33" s="144">
        <f>IF(AQ33="2",BH33,0)</f>
        <v>0</v>
      </c>
      <c r="AG33" s="144">
        <f>IF(AQ33="2",BI33,0)</f>
        <v>0</v>
      </c>
      <c r="AH33" s="144">
        <f>IF(AQ33="0",BJ33,0)</f>
        <v>0</v>
      </c>
      <c r="AI33" s="143" t="s">
        <v>401</v>
      </c>
      <c r="AJ33" s="132">
        <f>IF(AN33=0,L33,0)</f>
        <v>0</v>
      </c>
      <c r="AK33" s="132">
        <f>IF(AN33=15,L33,0)</f>
        <v>0</v>
      </c>
      <c r="AL33" s="132">
        <f>IF(AN33=21,L33,0)</f>
        <v>0</v>
      </c>
      <c r="AN33" s="144">
        <v>21</v>
      </c>
      <c r="AO33" s="144">
        <f>K33*0</f>
        <v>0</v>
      </c>
      <c r="AP33" s="144">
        <f>K33*(1-0)</f>
        <v>0</v>
      </c>
      <c r="AQ33" s="145" t="s">
        <v>74</v>
      </c>
      <c r="AV33" s="144">
        <f>AW33+AX33</f>
        <v>0</v>
      </c>
      <c r="AW33" s="144">
        <f>J33*AO33</f>
        <v>0</v>
      </c>
      <c r="AX33" s="144">
        <f>J33*AP33</f>
        <v>0</v>
      </c>
      <c r="AY33" s="147" t="s">
        <v>403</v>
      </c>
      <c r="AZ33" s="147" t="s">
        <v>413</v>
      </c>
      <c r="BA33" s="143" t="s">
        <v>431</v>
      </c>
      <c r="BC33" s="144">
        <f>AW33+AX33</f>
        <v>0</v>
      </c>
      <c r="BD33" s="144">
        <f>K33/(100-BE33)*100</f>
        <v>0</v>
      </c>
      <c r="BE33" s="144">
        <v>0</v>
      </c>
      <c r="BF33" s="144">
        <f>33</f>
        <v>33</v>
      </c>
      <c r="BH33" s="132">
        <f>J33*AO33</f>
        <v>0</v>
      </c>
      <c r="BI33" s="132">
        <f>J33*AP33</f>
        <v>0</v>
      </c>
      <c r="BJ33" s="132">
        <f>J33*K33</f>
        <v>0</v>
      </c>
      <c r="BK33" s="132" t="s">
        <v>437</v>
      </c>
      <c r="BL33" s="144">
        <v>1</v>
      </c>
    </row>
    <row r="34" spans="1:13" ht="12.75" customHeight="1">
      <c r="A34" s="55"/>
      <c r="B34" s="107" t="s">
        <v>186</v>
      </c>
      <c r="C34" s="114" t="s">
        <v>270</v>
      </c>
      <c r="D34" s="122"/>
      <c r="E34" s="122"/>
      <c r="F34" s="122"/>
      <c r="G34" s="122"/>
      <c r="H34" s="122"/>
      <c r="I34" s="122"/>
      <c r="J34" s="122"/>
      <c r="K34" s="122"/>
      <c r="L34" s="142"/>
      <c r="M34" s="55"/>
    </row>
    <row r="35" spans="1:64" ht="12" customHeight="1">
      <c r="A35" s="181" t="s">
        <v>83</v>
      </c>
      <c r="B35" s="181" t="s">
        <v>195</v>
      </c>
      <c r="C35" s="178" t="s">
        <v>271</v>
      </c>
      <c r="D35" s="120"/>
      <c r="E35" s="120"/>
      <c r="F35" s="120"/>
      <c r="G35" s="120"/>
      <c r="H35" s="183"/>
      <c r="I35" s="181" t="s">
        <v>379</v>
      </c>
      <c r="J35" s="186">
        <v>60.255</v>
      </c>
      <c r="K35" s="186">
        <v>0</v>
      </c>
      <c r="L35" s="185">
        <f>J35*K35</f>
        <v>0</v>
      </c>
      <c r="M35" s="166"/>
      <c r="Z35" s="144">
        <f>IF(AQ35="5",BJ35,0)</f>
        <v>0</v>
      </c>
      <c r="AB35" s="144">
        <f>IF(AQ35="1",BH35,0)</f>
        <v>0</v>
      </c>
      <c r="AC35" s="144">
        <f>IF(AQ35="1",BI35,0)</f>
        <v>0</v>
      </c>
      <c r="AD35" s="144">
        <f>IF(AQ35="7",BH35,0)</f>
        <v>0</v>
      </c>
      <c r="AE35" s="144">
        <f>IF(AQ35="7",BI35,0)</f>
        <v>0</v>
      </c>
      <c r="AF35" s="144">
        <f>IF(AQ35="2",BH35,0)</f>
        <v>0</v>
      </c>
      <c r="AG35" s="144">
        <f>IF(AQ35="2",BI35,0)</f>
        <v>0</v>
      </c>
      <c r="AH35" s="144">
        <f>IF(AQ35="0",BJ35,0)</f>
        <v>0</v>
      </c>
      <c r="AI35" s="143" t="s">
        <v>401</v>
      </c>
      <c r="AJ35" s="132">
        <f>IF(AN35=0,L35,0)</f>
        <v>0</v>
      </c>
      <c r="AK35" s="132">
        <f>IF(AN35=15,L35,0)</f>
        <v>0</v>
      </c>
      <c r="AL35" s="132">
        <f>IF(AN35=21,L35,0)</f>
        <v>0</v>
      </c>
      <c r="AN35" s="144">
        <v>21</v>
      </c>
      <c r="AO35" s="144">
        <f>K35*0</f>
        <v>0</v>
      </c>
      <c r="AP35" s="144">
        <f>K35*(1-0)</f>
        <v>0</v>
      </c>
      <c r="AQ35" s="145" t="s">
        <v>73</v>
      </c>
      <c r="AV35" s="144">
        <f>AW35+AX35</f>
        <v>0</v>
      </c>
      <c r="AW35" s="144">
        <f>J35*AO35</f>
        <v>0</v>
      </c>
      <c r="AX35" s="144">
        <f>J35*AP35</f>
        <v>0</v>
      </c>
      <c r="AY35" s="147" t="s">
        <v>403</v>
      </c>
      <c r="AZ35" s="147" t="s">
        <v>413</v>
      </c>
      <c r="BA35" s="143" t="s">
        <v>431</v>
      </c>
      <c r="BC35" s="144">
        <f>AW35+AX35</f>
        <v>0</v>
      </c>
      <c r="BD35" s="144">
        <f>K35/(100-BE35)*100</f>
        <v>0</v>
      </c>
      <c r="BE35" s="144">
        <v>0</v>
      </c>
      <c r="BF35" s="144">
        <f>35</f>
        <v>35</v>
      </c>
      <c r="BH35" s="132">
        <f>J35*AO35</f>
        <v>0</v>
      </c>
      <c r="BI35" s="132">
        <f>J35*AP35</f>
        <v>0</v>
      </c>
      <c r="BJ35" s="132">
        <f>J35*K35</f>
        <v>0</v>
      </c>
      <c r="BK35" s="132" t="s">
        <v>437</v>
      </c>
      <c r="BL35" s="144">
        <v>1</v>
      </c>
    </row>
    <row r="36" spans="1:13" ht="25.5" customHeight="1">
      <c r="A36" s="55"/>
      <c r="B36" s="107" t="s">
        <v>186</v>
      </c>
      <c r="C36" s="114" t="s">
        <v>272</v>
      </c>
      <c r="D36" s="122"/>
      <c r="E36" s="122"/>
      <c r="F36" s="122"/>
      <c r="G36" s="122"/>
      <c r="H36" s="122"/>
      <c r="I36" s="122"/>
      <c r="J36" s="122"/>
      <c r="K36" s="122"/>
      <c r="L36" s="142"/>
      <c r="M36" s="55"/>
    </row>
    <row r="37" spans="1:64" ht="12" customHeight="1">
      <c r="A37" s="181" t="s">
        <v>84</v>
      </c>
      <c r="B37" s="181" t="s">
        <v>196</v>
      </c>
      <c r="C37" s="178" t="s">
        <v>273</v>
      </c>
      <c r="D37" s="120"/>
      <c r="E37" s="120"/>
      <c r="F37" s="120"/>
      <c r="G37" s="120"/>
      <c r="H37" s="183"/>
      <c r="I37" s="181" t="s">
        <v>379</v>
      </c>
      <c r="J37" s="186">
        <v>58.6</v>
      </c>
      <c r="K37" s="186">
        <v>0</v>
      </c>
      <c r="L37" s="185">
        <f>J37*K37</f>
        <v>0</v>
      </c>
      <c r="M37" s="166"/>
      <c r="Z37" s="144">
        <f>IF(AQ37="5",BJ37,0)</f>
        <v>0</v>
      </c>
      <c r="AB37" s="144">
        <f>IF(AQ37="1",BH37,0)</f>
        <v>0</v>
      </c>
      <c r="AC37" s="144">
        <f>IF(AQ37="1",BI37,0)</f>
        <v>0</v>
      </c>
      <c r="AD37" s="144">
        <f>IF(AQ37="7",BH37,0)</f>
        <v>0</v>
      </c>
      <c r="AE37" s="144">
        <f>IF(AQ37="7",BI37,0)</f>
        <v>0</v>
      </c>
      <c r="AF37" s="144">
        <f>IF(AQ37="2",BH37,0)</f>
        <v>0</v>
      </c>
      <c r="AG37" s="144">
        <f>IF(AQ37="2",BI37,0)</f>
        <v>0</v>
      </c>
      <c r="AH37" s="144">
        <f>IF(AQ37="0",BJ37,0)</f>
        <v>0</v>
      </c>
      <c r="AI37" s="143" t="s">
        <v>401</v>
      </c>
      <c r="AJ37" s="132">
        <f>IF(AN37=0,L37,0)</f>
        <v>0</v>
      </c>
      <c r="AK37" s="132">
        <f>IF(AN37=15,L37,0)</f>
        <v>0</v>
      </c>
      <c r="AL37" s="132">
        <f>IF(AN37=21,L37,0)</f>
        <v>0</v>
      </c>
      <c r="AN37" s="144">
        <v>21</v>
      </c>
      <c r="AO37" s="144">
        <f>K37*0</f>
        <v>0</v>
      </c>
      <c r="AP37" s="144">
        <f>K37*(1-0)</f>
        <v>0</v>
      </c>
      <c r="AQ37" s="145" t="s">
        <v>73</v>
      </c>
      <c r="AV37" s="144">
        <f>AW37+AX37</f>
        <v>0</v>
      </c>
      <c r="AW37" s="144">
        <f>J37*AO37</f>
        <v>0</v>
      </c>
      <c r="AX37" s="144">
        <f>J37*AP37</f>
        <v>0</v>
      </c>
      <c r="AY37" s="147" t="s">
        <v>403</v>
      </c>
      <c r="AZ37" s="147" t="s">
        <v>413</v>
      </c>
      <c r="BA37" s="143" t="s">
        <v>431</v>
      </c>
      <c r="BC37" s="144">
        <f>AW37+AX37</f>
        <v>0</v>
      </c>
      <c r="BD37" s="144">
        <f>K37/(100-BE37)*100</f>
        <v>0</v>
      </c>
      <c r="BE37" s="144">
        <v>0</v>
      </c>
      <c r="BF37" s="144">
        <f>37</f>
        <v>37</v>
      </c>
      <c r="BH37" s="132">
        <f>J37*AO37</f>
        <v>0</v>
      </c>
      <c r="BI37" s="132">
        <f>J37*AP37</f>
        <v>0</v>
      </c>
      <c r="BJ37" s="132">
        <f>J37*K37</f>
        <v>0</v>
      </c>
      <c r="BK37" s="132" t="s">
        <v>437</v>
      </c>
      <c r="BL37" s="144">
        <v>1</v>
      </c>
    </row>
    <row r="38" spans="1:13" ht="12.75" customHeight="1">
      <c r="A38" s="55"/>
      <c r="B38" s="107" t="s">
        <v>184</v>
      </c>
      <c r="C38" s="113" t="s">
        <v>274</v>
      </c>
      <c r="D38" s="121"/>
      <c r="E38" s="121"/>
      <c r="F38" s="121"/>
      <c r="G38" s="121"/>
      <c r="H38" s="121"/>
      <c r="I38" s="121"/>
      <c r="J38" s="121"/>
      <c r="K38" s="121"/>
      <c r="L38" s="141"/>
      <c r="M38" s="55"/>
    </row>
    <row r="39" spans="1:64" ht="12" customHeight="1">
      <c r="A39" s="96" t="s">
        <v>85</v>
      </c>
      <c r="B39" s="106" t="s">
        <v>197</v>
      </c>
      <c r="C39" s="106" t="s">
        <v>275</v>
      </c>
      <c r="D39" s="120"/>
      <c r="E39" s="120"/>
      <c r="F39" s="120"/>
      <c r="G39" s="120"/>
      <c r="H39" s="120"/>
      <c r="I39" s="106" t="s">
        <v>380</v>
      </c>
      <c r="J39" s="132">
        <v>0.9</v>
      </c>
      <c r="K39" s="132">
        <v>0</v>
      </c>
      <c r="L39" s="151">
        <f>J39*K39</f>
        <v>0</v>
      </c>
      <c r="M39" s="55"/>
      <c r="Z39" s="144">
        <f>IF(AQ39="5",BJ39,0)</f>
        <v>0</v>
      </c>
      <c r="AB39" s="144">
        <f>IF(AQ39="1",BH39,0)</f>
        <v>0</v>
      </c>
      <c r="AC39" s="144">
        <f>IF(AQ39="1",BI39,0)</f>
        <v>0</v>
      </c>
      <c r="AD39" s="144">
        <f>IF(AQ39="7",BH39,0)</f>
        <v>0</v>
      </c>
      <c r="AE39" s="144">
        <f>IF(AQ39="7",BI39,0)</f>
        <v>0</v>
      </c>
      <c r="AF39" s="144">
        <f>IF(AQ39="2",BH39,0)</f>
        <v>0</v>
      </c>
      <c r="AG39" s="144">
        <f>IF(AQ39="2",BI39,0)</f>
        <v>0</v>
      </c>
      <c r="AH39" s="144">
        <f>IF(AQ39="0",BJ39,0)</f>
        <v>0</v>
      </c>
      <c r="AI39" s="143" t="s">
        <v>401</v>
      </c>
      <c r="AJ39" s="132">
        <f>IF(AN39=0,L39,0)</f>
        <v>0</v>
      </c>
      <c r="AK39" s="132">
        <f>IF(AN39=15,L39,0)</f>
        <v>0</v>
      </c>
      <c r="AL39" s="132">
        <f>IF(AN39=21,L39,0)</f>
        <v>0</v>
      </c>
      <c r="AN39" s="144">
        <v>21</v>
      </c>
      <c r="AO39" s="144">
        <f>K39*0</f>
        <v>0</v>
      </c>
      <c r="AP39" s="144">
        <f>K39*(1-0)</f>
        <v>0</v>
      </c>
      <c r="AQ39" s="145" t="s">
        <v>73</v>
      </c>
      <c r="AV39" s="144">
        <f>AW39+AX39</f>
        <v>0</v>
      </c>
      <c r="AW39" s="144">
        <f>J39*AO39</f>
        <v>0</v>
      </c>
      <c r="AX39" s="144">
        <f>J39*AP39</f>
        <v>0</v>
      </c>
      <c r="AY39" s="147" t="s">
        <v>403</v>
      </c>
      <c r="AZ39" s="147" t="s">
        <v>413</v>
      </c>
      <c r="BA39" s="143" t="s">
        <v>431</v>
      </c>
      <c r="BC39" s="144">
        <f>AW39+AX39</f>
        <v>0</v>
      </c>
      <c r="BD39" s="144">
        <f>K39/(100-BE39)*100</f>
        <v>0</v>
      </c>
      <c r="BE39" s="144">
        <v>0</v>
      </c>
      <c r="BF39" s="144">
        <f>39</f>
        <v>39</v>
      </c>
      <c r="BH39" s="132">
        <f>J39*AO39</f>
        <v>0</v>
      </c>
      <c r="BI39" s="132">
        <f>J39*AP39</f>
        <v>0</v>
      </c>
      <c r="BJ39" s="132">
        <f>J39*K39</f>
        <v>0</v>
      </c>
      <c r="BK39" s="132" t="s">
        <v>437</v>
      </c>
      <c r="BL39" s="144">
        <v>1</v>
      </c>
    </row>
    <row r="40" spans="1:13" ht="12.75" customHeight="1">
      <c r="A40" s="55"/>
      <c r="B40" s="107" t="s">
        <v>186</v>
      </c>
      <c r="C40" s="114" t="s">
        <v>276</v>
      </c>
      <c r="D40" s="122"/>
      <c r="E40" s="122"/>
      <c r="F40" s="122"/>
      <c r="G40" s="122"/>
      <c r="H40" s="122"/>
      <c r="I40" s="122"/>
      <c r="J40" s="122"/>
      <c r="K40" s="122"/>
      <c r="L40" s="142"/>
      <c r="M40" s="55"/>
    </row>
    <row r="41" spans="1:47" ht="12" customHeight="1">
      <c r="A41" s="179"/>
      <c r="B41" s="180" t="s">
        <v>73</v>
      </c>
      <c r="C41" s="168" t="s">
        <v>277</v>
      </c>
      <c r="D41" s="119"/>
      <c r="E41" s="119"/>
      <c r="F41" s="119"/>
      <c r="G41" s="119"/>
      <c r="H41" s="182"/>
      <c r="I41" s="179" t="s">
        <v>72</v>
      </c>
      <c r="J41" s="179" t="s">
        <v>72</v>
      </c>
      <c r="K41" s="179" t="s">
        <v>72</v>
      </c>
      <c r="L41" s="175">
        <f>SUM(L42:L43)</f>
        <v>0</v>
      </c>
      <c r="M41" s="166"/>
      <c r="AI41" s="143" t="s">
        <v>401</v>
      </c>
      <c r="AS41" s="156">
        <f>SUM(AJ42:AJ43)</f>
        <v>0</v>
      </c>
      <c r="AT41" s="156">
        <f>SUM(AK42:AK43)</f>
        <v>0</v>
      </c>
      <c r="AU41" s="156">
        <f>SUM(AL42:AL43)</f>
        <v>0</v>
      </c>
    </row>
    <row r="42" spans="1:64" ht="12" customHeight="1">
      <c r="A42" s="187" t="s">
        <v>86</v>
      </c>
      <c r="B42" s="187" t="s">
        <v>198</v>
      </c>
      <c r="C42" s="177" t="s">
        <v>278</v>
      </c>
      <c r="D42" s="120"/>
      <c r="E42" s="120"/>
      <c r="F42" s="120"/>
      <c r="G42" s="120"/>
      <c r="H42" s="188"/>
      <c r="I42" s="187" t="s">
        <v>380</v>
      </c>
      <c r="J42" s="189">
        <v>29.616</v>
      </c>
      <c r="K42" s="189">
        <v>0</v>
      </c>
      <c r="L42" s="184">
        <f>J42*K42</f>
        <v>0</v>
      </c>
      <c r="M42" s="166"/>
      <c r="Z42" s="144">
        <f>IF(AQ42="5",BJ42,0)</f>
        <v>0</v>
      </c>
      <c r="AB42" s="144">
        <f>IF(AQ42="1",BH42,0)</f>
        <v>0</v>
      </c>
      <c r="AC42" s="144">
        <f>IF(AQ42="1",BI42,0)</f>
        <v>0</v>
      </c>
      <c r="AD42" s="144">
        <f>IF(AQ42="7",BH42,0)</f>
        <v>0</v>
      </c>
      <c r="AE42" s="144">
        <f>IF(AQ42="7",BI42,0)</f>
        <v>0</v>
      </c>
      <c r="AF42" s="144">
        <f>IF(AQ42="2",BH42,0)</f>
        <v>0</v>
      </c>
      <c r="AG42" s="144">
        <f>IF(AQ42="2",BI42,0)</f>
        <v>0</v>
      </c>
      <c r="AH42" s="144">
        <f>IF(AQ42="0",BJ42,0)</f>
        <v>0</v>
      </c>
      <c r="AI42" s="143" t="s">
        <v>401</v>
      </c>
      <c r="AJ42" s="132">
        <f>IF(AN42=0,L42,0)</f>
        <v>0</v>
      </c>
      <c r="AK42" s="132">
        <f>IF(AN42=15,L42,0)</f>
        <v>0</v>
      </c>
      <c r="AL42" s="132">
        <f>IF(AN42=21,L42,0)</f>
        <v>0</v>
      </c>
      <c r="AN42" s="144">
        <v>21</v>
      </c>
      <c r="AO42" s="144">
        <f>K42*0</f>
        <v>0</v>
      </c>
      <c r="AP42" s="144">
        <f>K42*(1-0)</f>
        <v>0</v>
      </c>
      <c r="AQ42" s="145" t="s">
        <v>73</v>
      </c>
      <c r="AV42" s="144">
        <f>AW42+AX42</f>
        <v>0</v>
      </c>
      <c r="AW42" s="144">
        <f>J42*AO42</f>
        <v>0</v>
      </c>
      <c r="AX42" s="144">
        <f>J42*AP42</f>
        <v>0</v>
      </c>
      <c r="AY42" s="147" t="s">
        <v>404</v>
      </c>
      <c r="AZ42" s="147" t="s">
        <v>414</v>
      </c>
      <c r="BA42" s="143" t="s">
        <v>431</v>
      </c>
      <c r="BC42" s="144">
        <f>AW42+AX42</f>
        <v>0</v>
      </c>
      <c r="BD42" s="144">
        <f>K42/(100-BE42)*100</f>
        <v>0</v>
      </c>
      <c r="BE42" s="144">
        <v>0</v>
      </c>
      <c r="BF42" s="144">
        <f>42</f>
        <v>42</v>
      </c>
      <c r="BH42" s="132">
        <f>J42*AO42</f>
        <v>0</v>
      </c>
      <c r="BI42" s="132">
        <f>J42*AP42</f>
        <v>0</v>
      </c>
      <c r="BJ42" s="132">
        <f>J42*K42</f>
        <v>0</v>
      </c>
      <c r="BK42" s="132" t="s">
        <v>437</v>
      </c>
      <c r="BL42" s="144">
        <v>1</v>
      </c>
    </row>
    <row r="43" spans="1:64" ht="12" customHeight="1">
      <c r="A43" s="181" t="s">
        <v>87</v>
      </c>
      <c r="B43" s="181" t="s">
        <v>199</v>
      </c>
      <c r="C43" s="178" t="s">
        <v>279</v>
      </c>
      <c r="D43" s="120"/>
      <c r="E43" s="120"/>
      <c r="F43" s="120"/>
      <c r="G43" s="120"/>
      <c r="H43" s="183"/>
      <c r="I43" s="181" t="s">
        <v>380</v>
      </c>
      <c r="J43" s="186">
        <v>29</v>
      </c>
      <c r="K43" s="186">
        <v>0</v>
      </c>
      <c r="L43" s="185">
        <f>J43*K43</f>
        <v>0</v>
      </c>
      <c r="M43" s="166"/>
      <c r="Z43" s="144">
        <f>IF(AQ43="5",BJ43,0)</f>
        <v>0</v>
      </c>
      <c r="AB43" s="144">
        <f>IF(AQ43="1",BH43,0)</f>
        <v>0</v>
      </c>
      <c r="AC43" s="144">
        <f>IF(AQ43="1",BI43,0)</f>
        <v>0</v>
      </c>
      <c r="AD43" s="144">
        <f>IF(AQ43="7",BH43,0)</f>
        <v>0</v>
      </c>
      <c r="AE43" s="144">
        <f>IF(AQ43="7",BI43,0)</f>
        <v>0</v>
      </c>
      <c r="AF43" s="144">
        <f>IF(AQ43="2",BH43,0)</f>
        <v>0</v>
      </c>
      <c r="AG43" s="144">
        <f>IF(AQ43="2",BI43,0)</f>
        <v>0</v>
      </c>
      <c r="AH43" s="144">
        <f>IF(AQ43="0",BJ43,0)</f>
        <v>0</v>
      </c>
      <c r="AI43" s="143" t="s">
        <v>401</v>
      </c>
      <c r="AJ43" s="132">
        <f>IF(AN43=0,L43,0)</f>
        <v>0</v>
      </c>
      <c r="AK43" s="132">
        <f>IF(AN43=15,L43,0)</f>
        <v>0</v>
      </c>
      <c r="AL43" s="132">
        <f>IF(AN43=21,L43,0)</f>
        <v>0</v>
      </c>
      <c r="AN43" s="144">
        <v>21</v>
      </c>
      <c r="AO43" s="144">
        <f>K43*0</f>
        <v>0</v>
      </c>
      <c r="AP43" s="144">
        <f>K43*(1-0)</f>
        <v>0</v>
      </c>
      <c r="AQ43" s="145" t="s">
        <v>73</v>
      </c>
      <c r="AV43" s="144">
        <f>AW43+AX43</f>
        <v>0</v>
      </c>
      <c r="AW43" s="144">
        <f>J43*AO43</f>
        <v>0</v>
      </c>
      <c r="AX43" s="144">
        <f>J43*AP43</f>
        <v>0</v>
      </c>
      <c r="AY43" s="147" t="s">
        <v>404</v>
      </c>
      <c r="AZ43" s="147" t="s">
        <v>414</v>
      </c>
      <c r="BA43" s="143" t="s">
        <v>431</v>
      </c>
      <c r="BC43" s="144">
        <f>AW43+AX43</f>
        <v>0</v>
      </c>
      <c r="BD43" s="144">
        <f>K43/(100-BE43)*100</f>
        <v>0</v>
      </c>
      <c r="BE43" s="144">
        <v>0</v>
      </c>
      <c r="BF43" s="144">
        <f>43</f>
        <v>43</v>
      </c>
      <c r="BH43" s="132">
        <f>J43*AO43</f>
        <v>0</v>
      </c>
      <c r="BI43" s="132">
        <f>J43*AP43</f>
        <v>0</v>
      </c>
      <c r="BJ43" s="132">
        <f>J43*K43</f>
        <v>0</v>
      </c>
      <c r="BK43" s="132" t="s">
        <v>437</v>
      </c>
      <c r="BL43" s="144">
        <v>1</v>
      </c>
    </row>
    <row r="44" spans="1:13" ht="25.5" customHeight="1">
      <c r="A44" s="55"/>
      <c r="B44" s="107" t="s">
        <v>184</v>
      </c>
      <c r="C44" s="113" t="s">
        <v>280</v>
      </c>
      <c r="D44" s="121"/>
      <c r="E44" s="121"/>
      <c r="F44" s="121"/>
      <c r="G44" s="121"/>
      <c r="H44" s="121"/>
      <c r="I44" s="121"/>
      <c r="J44" s="121"/>
      <c r="K44" s="121"/>
      <c r="L44" s="141"/>
      <c r="M44" s="55"/>
    </row>
    <row r="45" spans="1:47" ht="12" customHeight="1">
      <c r="A45" s="95"/>
      <c r="B45" s="105" t="s">
        <v>99</v>
      </c>
      <c r="C45" s="105" t="s">
        <v>281</v>
      </c>
      <c r="D45" s="119"/>
      <c r="E45" s="119"/>
      <c r="F45" s="119"/>
      <c r="G45" s="119"/>
      <c r="H45" s="119"/>
      <c r="I45" s="129" t="s">
        <v>72</v>
      </c>
      <c r="J45" s="129" t="s">
        <v>72</v>
      </c>
      <c r="K45" s="129" t="s">
        <v>72</v>
      </c>
      <c r="L45" s="150">
        <f>SUM(L46:L52)</f>
        <v>0</v>
      </c>
      <c r="M45" s="55"/>
      <c r="AI45" s="143" t="s">
        <v>401</v>
      </c>
      <c r="AS45" s="156">
        <f>SUM(AJ46:AJ52)</f>
        <v>0</v>
      </c>
      <c r="AT45" s="156">
        <f>SUM(AK46:AK52)</f>
        <v>0</v>
      </c>
      <c r="AU45" s="156">
        <f>SUM(AL46:AL52)</f>
        <v>0</v>
      </c>
    </row>
    <row r="46" spans="1:64" ht="12" customHeight="1">
      <c r="A46" s="96" t="s">
        <v>88</v>
      </c>
      <c r="B46" s="106" t="s">
        <v>200</v>
      </c>
      <c r="C46" s="106" t="s">
        <v>282</v>
      </c>
      <c r="D46" s="120"/>
      <c r="E46" s="120"/>
      <c r="F46" s="120"/>
      <c r="G46" s="120"/>
      <c r="H46" s="120"/>
      <c r="I46" s="106" t="s">
        <v>381</v>
      </c>
      <c r="J46" s="132">
        <v>25</v>
      </c>
      <c r="K46" s="132">
        <v>0</v>
      </c>
      <c r="L46" s="151">
        <f>J46*K46</f>
        <v>0</v>
      </c>
      <c r="M46" s="55"/>
      <c r="Z46" s="144">
        <f>IF(AQ46="5",BJ46,0)</f>
        <v>0</v>
      </c>
      <c r="AB46" s="144">
        <f>IF(AQ46="1",BH46,0)</f>
        <v>0</v>
      </c>
      <c r="AC46" s="144">
        <f>IF(AQ46="1",BI46,0)</f>
        <v>0</v>
      </c>
      <c r="AD46" s="144">
        <f>IF(AQ46="7",BH46,0)</f>
        <v>0</v>
      </c>
      <c r="AE46" s="144">
        <f>IF(AQ46="7",BI46,0)</f>
        <v>0</v>
      </c>
      <c r="AF46" s="144">
        <f>IF(AQ46="2",BH46,0)</f>
        <v>0</v>
      </c>
      <c r="AG46" s="144">
        <f>IF(AQ46="2",BI46,0)</f>
        <v>0</v>
      </c>
      <c r="AH46" s="144">
        <f>IF(AQ46="0",BJ46,0)</f>
        <v>0</v>
      </c>
      <c r="AI46" s="143" t="s">
        <v>401</v>
      </c>
      <c r="AJ46" s="132">
        <f>IF(AN46=0,L46,0)</f>
        <v>0</v>
      </c>
      <c r="AK46" s="132">
        <f>IF(AN46=15,L46,0)</f>
        <v>0</v>
      </c>
      <c r="AL46" s="132">
        <f>IF(AN46=21,L46,0)</f>
        <v>0</v>
      </c>
      <c r="AN46" s="144">
        <v>21</v>
      </c>
      <c r="AO46" s="144">
        <f>K46*0.426065257665696</f>
        <v>0</v>
      </c>
      <c r="AP46" s="144">
        <f>K46*(1-0.426065257665696)</f>
        <v>0</v>
      </c>
      <c r="AQ46" s="145" t="s">
        <v>73</v>
      </c>
      <c r="AV46" s="144">
        <f>AW46+AX46</f>
        <v>0</v>
      </c>
      <c r="AW46" s="144">
        <f>J46*AO46</f>
        <v>0</v>
      </c>
      <c r="AX46" s="144">
        <f>J46*AP46</f>
        <v>0</v>
      </c>
      <c r="AY46" s="147" t="s">
        <v>405</v>
      </c>
      <c r="AZ46" s="147" t="s">
        <v>415</v>
      </c>
      <c r="BA46" s="143" t="s">
        <v>431</v>
      </c>
      <c r="BC46" s="144">
        <f>AW46+AX46</f>
        <v>0</v>
      </c>
      <c r="BD46" s="144">
        <f>K46/(100-BE46)*100</f>
        <v>0</v>
      </c>
      <c r="BE46" s="144">
        <v>0</v>
      </c>
      <c r="BF46" s="144">
        <f>46</f>
        <v>46</v>
      </c>
      <c r="BH46" s="132">
        <f>J46*AO46</f>
        <v>0</v>
      </c>
      <c r="BI46" s="132">
        <f>J46*AP46</f>
        <v>0</v>
      </c>
      <c r="BJ46" s="132">
        <f>J46*K46</f>
        <v>0</v>
      </c>
      <c r="BK46" s="132" t="s">
        <v>437</v>
      </c>
      <c r="BL46" s="144">
        <v>27</v>
      </c>
    </row>
    <row r="47" spans="1:13" ht="12.75" customHeight="1">
      <c r="A47" s="55"/>
      <c r="B47" s="107" t="s">
        <v>186</v>
      </c>
      <c r="C47" s="114" t="s">
        <v>283</v>
      </c>
      <c r="D47" s="122"/>
      <c r="E47" s="122"/>
      <c r="F47" s="122"/>
      <c r="G47" s="122"/>
      <c r="H47" s="122"/>
      <c r="I47" s="122"/>
      <c r="J47" s="122"/>
      <c r="K47" s="122"/>
      <c r="L47" s="142"/>
      <c r="M47" s="55"/>
    </row>
    <row r="48" spans="1:64" ht="12" customHeight="1">
      <c r="A48" s="96" t="s">
        <v>89</v>
      </c>
      <c r="B48" s="106" t="s">
        <v>201</v>
      </c>
      <c r="C48" s="106" t="s">
        <v>284</v>
      </c>
      <c r="D48" s="120"/>
      <c r="E48" s="120"/>
      <c r="F48" s="120"/>
      <c r="G48" s="120"/>
      <c r="H48" s="120"/>
      <c r="I48" s="106" t="s">
        <v>380</v>
      </c>
      <c r="J48" s="132">
        <v>0.805</v>
      </c>
      <c r="K48" s="132">
        <v>0</v>
      </c>
      <c r="L48" s="151">
        <f>J48*K48</f>
        <v>0</v>
      </c>
      <c r="M48" s="55"/>
      <c r="Z48" s="144">
        <f>IF(AQ48="5",BJ48,0)</f>
        <v>0</v>
      </c>
      <c r="AB48" s="144">
        <f>IF(AQ48="1",BH48,0)</f>
        <v>0</v>
      </c>
      <c r="AC48" s="144">
        <f>IF(AQ48="1",BI48,0)</f>
        <v>0</v>
      </c>
      <c r="AD48" s="144">
        <f>IF(AQ48="7",BH48,0)</f>
        <v>0</v>
      </c>
      <c r="AE48" s="144">
        <f>IF(AQ48="7",BI48,0)</f>
        <v>0</v>
      </c>
      <c r="AF48" s="144">
        <f>IF(AQ48="2",BH48,0)</f>
        <v>0</v>
      </c>
      <c r="AG48" s="144">
        <f>IF(AQ48="2",BI48,0)</f>
        <v>0</v>
      </c>
      <c r="AH48" s="144">
        <f>IF(AQ48="0",BJ48,0)</f>
        <v>0</v>
      </c>
      <c r="AI48" s="143" t="s">
        <v>401</v>
      </c>
      <c r="AJ48" s="132">
        <f>IF(AN48=0,L48,0)</f>
        <v>0</v>
      </c>
      <c r="AK48" s="132">
        <f>IF(AN48=15,L48,0)</f>
        <v>0</v>
      </c>
      <c r="AL48" s="132">
        <f>IF(AN48=21,L48,0)</f>
        <v>0</v>
      </c>
      <c r="AN48" s="144">
        <v>21</v>
      </c>
      <c r="AO48" s="144">
        <f>K48*0.609022281825215</f>
        <v>0</v>
      </c>
      <c r="AP48" s="144">
        <f>K48*(1-0.609022281825215)</f>
        <v>0</v>
      </c>
      <c r="AQ48" s="145" t="s">
        <v>73</v>
      </c>
      <c r="AV48" s="144">
        <f>AW48+AX48</f>
        <v>0</v>
      </c>
      <c r="AW48" s="144">
        <f>J48*AO48</f>
        <v>0</v>
      </c>
      <c r="AX48" s="144">
        <f>J48*AP48</f>
        <v>0</v>
      </c>
      <c r="AY48" s="147" t="s">
        <v>405</v>
      </c>
      <c r="AZ48" s="147" t="s">
        <v>415</v>
      </c>
      <c r="BA48" s="143" t="s">
        <v>431</v>
      </c>
      <c r="BC48" s="144">
        <f>AW48+AX48</f>
        <v>0</v>
      </c>
      <c r="BD48" s="144">
        <f>K48/(100-BE48)*100</f>
        <v>0</v>
      </c>
      <c r="BE48" s="144">
        <v>0</v>
      </c>
      <c r="BF48" s="144">
        <f>48</f>
        <v>48</v>
      </c>
      <c r="BH48" s="132">
        <f>J48*AO48</f>
        <v>0</v>
      </c>
      <c r="BI48" s="132">
        <f>J48*AP48</f>
        <v>0</v>
      </c>
      <c r="BJ48" s="132">
        <f>J48*K48</f>
        <v>0</v>
      </c>
      <c r="BK48" s="132" t="s">
        <v>437</v>
      </c>
      <c r="BL48" s="144">
        <v>27</v>
      </c>
    </row>
    <row r="49" spans="1:64" ht="12" customHeight="1">
      <c r="A49" s="96" t="s">
        <v>90</v>
      </c>
      <c r="B49" s="106" t="s">
        <v>202</v>
      </c>
      <c r="C49" s="106" t="s">
        <v>285</v>
      </c>
      <c r="D49" s="120"/>
      <c r="E49" s="120"/>
      <c r="F49" s="120"/>
      <c r="G49" s="120"/>
      <c r="H49" s="120"/>
      <c r="I49" s="106" t="s">
        <v>379</v>
      </c>
      <c r="J49" s="132">
        <v>37.5</v>
      </c>
      <c r="K49" s="132">
        <v>0</v>
      </c>
      <c r="L49" s="151">
        <f>J49*K49</f>
        <v>0</v>
      </c>
      <c r="M49" s="55"/>
      <c r="Z49" s="144">
        <f>IF(AQ49="5",BJ49,0)</f>
        <v>0</v>
      </c>
      <c r="AB49" s="144">
        <f>IF(AQ49="1",BH49,0)</f>
        <v>0</v>
      </c>
      <c r="AC49" s="144">
        <f>IF(AQ49="1",BI49,0)</f>
        <v>0</v>
      </c>
      <c r="AD49" s="144">
        <f>IF(AQ49="7",BH49,0)</f>
        <v>0</v>
      </c>
      <c r="AE49" s="144">
        <f>IF(AQ49="7",BI49,0)</f>
        <v>0</v>
      </c>
      <c r="AF49" s="144">
        <f>IF(AQ49="2",BH49,0)</f>
        <v>0</v>
      </c>
      <c r="AG49" s="144">
        <f>IF(AQ49="2",BI49,0)</f>
        <v>0</v>
      </c>
      <c r="AH49" s="144">
        <f>IF(AQ49="0",BJ49,0)</f>
        <v>0</v>
      </c>
      <c r="AI49" s="143" t="s">
        <v>401</v>
      </c>
      <c r="AJ49" s="132">
        <f>IF(AN49=0,L49,0)</f>
        <v>0</v>
      </c>
      <c r="AK49" s="132">
        <f>IF(AN49=15,L49,0)</f>
        <v>0</v>
      </c>
      <c r="AL49" s="132">
        <f>IF(AN49=21,L49,0)</f>
        <v>0</v>
      </c>
      <c r="AN49" s="144">
        <v>21</v>
      </c>
      <c r="AO49" s="144">
        <f>K49*0.0873469387755102</f>
        <v>0</v>
      </c>
      <c r="AP49" s="144">
        <f>K49*(1-0.0873469387755102)</f>
        <v>0</v>
      </c>
      <c r="AQ49" s="145" t="s">
        <v>73</v>
      </c>
      <c r="AV49" s="144">
        <f>AW49+AX49</f>
        <v>0</v>
      </c>
      <c r="AW49" s="144">
        <f>J49*AO49</f>
        <v>0</v>
      </c>
      <c r="AX49" s="144">
        <f>J49*AP49</f>
        <v>0</v>
      </c>
      <c r="AY49" s="147" t="s">
        <v>405</v>
      </c>
      <c r="AZ49" s="147" t="s">
        <v>415</v>
      </c>
      <c r="BA49" s="143" t="s">
        <v>431</v>
      </c>
      <c r="BC49" s="144">
        <f>AW49+AX49</f>
        <v>0</v>
      </c>
      <c r="BD49" s="144">
        <f>K49/(100-BE49)*100</f>
        <v>0</v>
      </c>
      <c r="BE49" s="144">
        <v>0</v>
      </c>
      <c r="BF49" s="144">
        <f>49</f>
        <v>49</v>
      </c>
      <c r="BH49" s="132">
        <f>J49*AO49</f>
        <v>0</v>
      </c>
      <c r="BI49" s="132">
        <f>J49*AP49</f>
        <v>0</v>
      </c>
      <c r="BJ49" s="132">
        <f>J49*K49</f>
        <v>0</v>
      </c>
      <c r="BK49" s="132" t="s">
        <v>437</v>
      </c>
      <c r="BL49" s="144">
        <v>27</v>
      </c>
    </row>
    <row r="50" spans="1:13" ht="12.75" customHeight="1">
      <c r="A50" s="55"/>
      <c r="B50" s="107" t="s">
        <v>184</v>
      </c>
      <c r="C50" s="113" t="s">
        <v>286</v>
      </c>
      <c r="D50" s="121"/>
      <c r="E50" s="121"/>
      <c r="F50" s="121"/>
      <c r="G50" s="121"/>
      <c r="H50" s="121"/>
      <c r="I50" s="121"/>
      <c r="J50" s="121"/>
      <c r="K50" s="121"/>
      <c r="L50" s="141"/>
      <c r="M50" s="55"/>
    </row>
    <row r="51" spans="1:64" ht="12" customHeight="1">
      <c r="A51" s="96" t="s">
        <v>91</v>
      </c>
      <c r="B51" s="106" t="s">
        <v>203</v>
      </c>
      <c r="C51" s="106" t="s">
        <v>287</v>
      </c>
      <c r="D51" s="120"/>
      <c r="E51" s="120"/>
      <c r="F51" s="120"/>
      <c r="G51" s="120"/>
      <c r="H51" s="120"/>
      <c r="I51" s="106" t="s">
        <v>382</v>
      </c>
      <c r="J51" s="132">
        <v>1</v>
      </c>
      <c r="K51" s="132">
        <v>0</v>
      </c>
      <c r="L51" s="151">
        <f>J51*K51</f>
        <v>0</v>
      </c>
      <c r="M51" s="55"/>
      <c r="Z51" s="144">
        <f>IF(AQ51="5",BJ51,0)</f>
        <v>0</v>
      </c>
      <c r="AB51" s="144">
        <f>IF(AQ51="1",BH51,0)</f>
        <v>0</v>
      </c>
      <c r="AC51" s="144">
        <f>IF(AQ51="1",BI51,0)</f>
        <v>0</v>
      </c>
      <c r="AD51" s="144">
        <f>IF(AQ51="7",BH51,0)</f>
        <v>0</v>
      </c>
      <c r="AE51" s="144">
        <f>IF(AQ51="7",BI51,0)</f>
        <v>0</v>
      </c>
      <c r="AF51" s="144">
        <f>IF(AQ51="2",BH51,0)</f>
        <v>0</v>
      </c>
      <c r="AG51" s="144">
        <f>IF(AQ51="2",BI51,0)</f>
        <v>0</v>
      </c>
      <c r="AH51" s="144">
        <f>IF(AQ51="0",BJ51,0)</f>
        <v>0</v>
      </c>
      <c r="AI51" s="143" t="s">
        <v>401</v>
      </c>
      <c r="AJ51" s="132">
        <f>IF(AN51=0,L51,0)</f>
        <v>0</v>
      </c>
      <c r="AK51" s="132">
        <f>IF(AN51=15,L51,0)</f>
        <v>0</v>
      </c>
      <c r="AL51" s="132">
        <f>IF(AN51=21,L51,0)</f>
        <v>0</v>
      </c>
      <c r="AN51" s="144">
        <v>21</v>
      </c>
      <c r="AO51" s="144">
        <f>K51*0</f>
        <v>0</v>
      </c>
      <c r="AP51" s="144">
        <f>K51*(1-0)</f>
        <v>0</v>
      </c>
      <c r="AQ51" s="145" t="s">
        <v>73</v>
      </c>
      <c r="AV51" s="144">
        <f>AW51+AX51</f>
        <v>0</v>
      </c>
      <c r="AW51" s="144">
        <f>J51*AO51</f>
        <v>0</v>
      </c>
      <c r="AX51" s="144">
        <f>J51*AP51</f>
        <v>0</v>
      </c>
      <c r="AY51" s="147" t="s">
        <v>405</v>
      </c>
      <c r="AZ51" s="147" t="s">
        <v>415</v>
      </c>
      <c r="BA51" s="143" t="s">
        <v>431</v>
      </c>
      <c r="BC51" s="144">
        <f>AW51+AX51</f>
        <v>0</v>
      </c>
      <c r="BD51" s="144">
        <f>K51/(100-BE51)*100</f>
        <v>0</v>
      </c>
      <c r="BE51" s="144">
        <v>0</v>
      </c>
      <c r="BF51" s="144">
        <f>51</f>
        <v>51</v>
      </c>
      <c r="BH51" s="132">
        <f>J51*AO51</f>
        <v>0</v>
      </c>
      <c r="BI51" s="132">
        <f>J51*AP51</f>
        <v>0</v>
      </c>
      <c r="BJ51" s="132">
        <f>J51*K51</f>
        <v>0</v>
      </c>
      <c r="BK51" s="132" t="s">
        <v>437</v>
      </c>
      <c r="BL51" s="144">
        <v>27</v>
      </c>
    </row>
    <row r="52" spans="1:64" ht="12" customHeight="1">
      <c r="A52" s="97" t="s">
        <v>92</v>
      </c>
      <c r="B52" s="108" t="s">
        <v>204</v>
      </c>
      <c r="C52" s="108" t="s">
        <v>288</v>
      </c>
      <c r="D52" s="123"/>
      <c r="E52" s="123"/>
      <c r="F52" s="123"/>
      <c r="G52" s="123"/>
      <c r="H52" s="123"/>
      <c r="I52" s="108" t="s">
        <v>383</v>
      </c>
      <c r="J52" s="133">
        <v>1</v>
      </c>
      <c r="K52" s="133">
        <v>0</v>
      </c>
      <c r="L52" s="152">
        <f>J52*K52</f>
        <v>0</v>
      </c>
      <c r="M52" s="55"/>
      <c r="Z52" s="144">
        <f>IF(AQ52="5",BJ52,0)</f>
        <v>0</v>
      </c>
      <c r="AB52" s="144">
        <f>IF(AQ52="1",BH52,0)</f>
        <v>0</v>
      </c>
      <c r="AC52" s="144">
        <f>IF(AQ52="1",BI52,0)</f>
        <v>0</v>
      </c>
      <c r="AD52" s="144">
        <f>IF(AQ52="7",BH52,0)</f>
        <v>0</v>
      </c>
      <c r="AE52" s="144">
        <f>IF(AQ52="7",BI52,0)</f>
        <v>0</v>
      </c>
      <c r="AF52" s="144">
        <f>IF(AQ52="2",BH52,0)</f>
        <v>0</v>
      </c>
      <c r="AG52" s="144">
        <f>IF(AQ52="2",BI52,0)</f>
        <v>0</v>
      </c>
      <c r="AH52" s="144">
        <f>IF(AQ52="0",BJ52,0)</f>
        <v>0</v>
      </c>
      <c r="AI52" s="143" t="s">
        <v>401</v>
      </c>
      <c r="AJ52" s="133">
        <f>IF(AN52=0,L52,0)</f>
        <v>0</v>
      </c>
      <c r="AK52" s="133">
        <f>IF(AN52=15,L52,0)</f>
        <v>0</v>
      </c>
      <c r="AL52" s="133">
        <f>IF(AN52=21,L52,0)</f>
        <v>0</v>
      </c>
      <c r="AN52" s="144">
        <v>21</v>
      </c>
      <c r="AO52" s="144">
        <f>K52*1</f>
        <v>0</v>
      </c>
      <c r="AP52" s="144">
        <f>K52*(1-1)</f>
        <v>0</v>
      </c>
      <c r="AQ52" s="146" t="s">
        <v>73</v>
      </c>
      <c r="AV52" s="144">
        <f>AW52+AX52</f>
        <v>0</v>
      </c>
      <c r="AW52" s="144">
        <f>J52*AO52</f>
        <v>0</v>
      </c>
      <c r="AX52" s="144">
        <f>J52*AP52</f>
        <v>0</v>
      </c>
      <c r="AY52" s="147" t="s">
        <v>405</v>
      </c>
      <c r="AZ52" s="147" t="s">
        <v>415</v>
      </c>
      <c r="BA52" s="143" t="s">
        <v>431</v>
      </c>
      <c r="BC52" s="144">
        <f>AW52+AX52</f>
        <v>0</v>
      </c>
      <c r="BD52" s="144">
        <f>K52/(100-BE52)*100</f>
        <v>0</v>
      </c>
      <c r="BE52" s="144">
        <v>0</v>
      </c>
      <c r="BF52" s="144">
        <f>52</f>
        <v>52</v>
      </c>
      <c r="BH52" s="133">
        <f>J52*AO52</f>
        <v>0</v>
      </c>
      <c r="BI52" s="133">
        <f>J52*AP52</f>
        <v>0</v>
      </c>
      <c r="BJ52" s="133">
        <f>J52*K52</f>
        <v>0</v>
      </c>
      <c r="BK52" s="133" t="s">
        <v>438</v>
      </c>
      <c r="BL52" s="144">
        <v>27</v>
      </c>
    </row>
    <row r="53" spans="1:13" ht="12.75" customHeight="1">
      <c r="A53" s="55"/>
      <c r="B53" s="107" t="s">
        <v>184</v>
      </c>
      <c r="C53" s="113" t="s">
        <v>289</v>
      </c>
      <c r="D53" s="121"/>
      <c r="E53" s="121"/>
      <c r="F53" s="121"/>
      <c r="G53" s="121"/>
      <c r="H53" s="121"/>
      <c r="I53" s="121"/>
      <c r="J53" s="121"/>
      <c r="K53" s="121"/>
      <c r="L53" s="141"/>
      <c r="M53" s="55"/>
    </row>
    <row r="54" spans="1:47" ht="12" customHeight="1">
      <c r="A54" s="95"/>
      <c r="B54" s="105" t="s">
        <v>75</v>
      </c>
      <c r="C54" s="105" t="s">
        <v>290</v>
      </c>
      <c r="D54" s="119"/>
      <c r="E54" s="119"/>
      <c r="F54" s="119"/>
      <c r="G54" s="119"/>
      <c r="H54" s="119"/>
      <c r="I54" s="129" t="s">
        <v>72</v>
      </c>
      <c r="J54" s="129" t="s">
        <v>72</v>
      </c>
      <c r="K54" s="129" t="s">
        <v>72</v>
      </c>
      <c r="L54" s="150">
        <f>SUM(L55:L55)</f>
        <v>0</v>
      </c>
      <c r="M54" s="55"/>
      <c r="AI54" s="143" t="s">
        <v>401</v>
      </c>
      <c r="AS54" s="156">
        <f>SUM(AJ55:AJ55)</f>
        <v>0</v>
      </c>
      <c r="AT54" s="156">
        <f>SUM(AK55:AK55)</f>
        <v>0</v>
      </c>
      <c r="AU54" s="156">
        <f>SUM(AL55:AL55)</f>
        <v>0</v>
      </c>
    </row>
    <row r="55" spans="1:64" ht="12" customHeight="1">
      <c r="A55" s="96" t="s">
        <v>93</v>
      </c>
      <c r="B55" s="106" t="s">
        <v>205</v>
      </c>
      <c r="C55" s="106" t="s">
        <v>291</v>
      </c>
      <c r="D55" s="120"/>
      <c r="E55" s="120"/>
      <c r="F55" s="120"/>
      <c r="G55" s="120"/>
      <c r="H55" s="120"/>
      <c r="I55" s="106" t="s">
        <v>381</v>
      </c>
      <c r="J55" s="132">
        <v>2</v>
      </c>
      <c r="K55" s="132">
        <v>0</v>
      </c>
      <c r="L55" s="151">
        <f>J55*K55</f>
        <v>0</v>
      </c>
      <c r="M55" s="55"/>
      <c r="Z55" s="144">
        <f>IF(AQ55="5",BJ55,0)</f>
        <v>0</v>
      </c>
      <c r="AB55" s="144">
        <f>IF(AQ55="1",BH55,0)</f>
        <v>0</v>
      </c>
      <c r="AC55" s="144">
        <f>IF(AQ55="1",BI55,0)</f>
        <v>0</v>
      </c>
      <c r="AD55" s="144">
        <f>IF(AQ55="7",BH55,0)</f>
        <v>0</v>
      </c>
      <c r="AE55" s="144">
        <f>IF(AQ55="7",BI55,0)</f>
        <v>0</v>
      </c>
      <c r="AF55" s="144">
        <f>IF(AQ55="2",BH55,0)</f>
        <v>0</v>
      </c>
      <c r="AG55" s="144">
        <f>IF(AQ55="2",BI55,0)</f>
        <v>0</v>
      </c>
      <c r="AH55" s="144">
        <f>IF(AQ55="0",BJ55,0)</f>
        <v>0</v>
      </c>
      <c r="AI55" s="143" t="s">
        <v>401</v>
      </c>
      <c r="AJ55" s="132">
        <f>IF(AN55=0,L55,0)</f>
        <v>0</v>
      </c>
      <c r="AK55" s="132">
        <f>IF(AN55=15,L55,0)</f>
        <v>0</v>
      </c>
      <c r="AL55" s="132">
        <f>IF(AN55=21,L55,0)</f>
        <v>0</v>
      </c>
      <c r="AN55" s="144">
        <v>21</v>
      </c>
      <c r="AO55" s="144">
        <f>K55*0.502105714285714</f>
        <v>0</v>
      </c>
      <c r="AP55" s="144">
        <f>K55*(1-0.502105714285714)</f>
        <v>0</v>
      </c>
      <c r="AQ55" s="145" t="s">
        <v>73</v>
      </c>
      <c r="AV55" s="144">
        <f>AW55+AX55</f>
        <v>0</v>
      </c>
      <c r="AW55" s="144">
        <f>J55*AO55</f>
        <v>0</v>
      </c>
      <c r="AX55" s="144">
        <f>J55*AP55</f>
        <v>0</v>
      </c>
      <c r="AY55" s="147" t="s">
        <v>406</v>
      </c>
      <c r="AZ55" s="147" t="s">
        <v>416</v>
      </c>
      <c r="BA55" s="143" t="s">
        <v>431</v>
      </c>
      <c r="BC55" s="144">
        <f>AW55+AX55</f>
        <v>0</v>
      </c>
      <c r="BD55" s="144">
        <f>K55/(100-BE55)*100</f>
        <v>0</v>
      </c>
      <c r="BE55" s="144">
        <v>0</v>
      </c>
      <c r="BF55" s="144">
        <f>55</f>
        <v>55</v>
      </c>
      <c r="BH55" s="132">
        <f>J55*AO55</f>
        <v>0</v>
      </c>
      <c r="BI55" s="132">
        <f>J55*AP55</f>
        <v>0</v>
      </c>
      <c r="BJ55" s="132">
        <f>J55*K55</f>
        <v>0</v>
      </c>
      <c r="BK55" s="132" t="s">
        <v>437</v>
      </c>
      <c r="BL55" s="144">
        <v>3</v>
      </c>
    </row>
    <row r="56" spans="1:13" ht="12.75" customHeight="1">
      <c r="A56" s="55"/>
      <c r="B56" s="107" t="s">
        <v>186</v>
      </c>
      <c r="C56" s="114" t="s">
        <v>292</v>
      </c>
      <c r="D56" s="122"/>
      <c r="E56" s="122"/>
      <c r="F56" s="122"/>
      <c r="G56" s="122"/>
      <c r="H56" s="122"/>
      <c r="I56" s="122"/>
      <c r="J56" s="122"/>
      <c r="K56" s="122"/>
      <c r="L56" s="142"/>
      <c r="M56" s="55"/>
    </row>
    <row r="57" spans="1:47" ht="12" customHeight="1">
      <c r="A57" s="179"/>
      <c r="B57" s="180" t="s">
        <v>117</v>
      </c>
      <c r="C57" s="168" t="s">
        <v>293</v>
      </c>
      <c r="D57" s="119"/>
      <c r="E57" s="119"/>
      <c r="F57" s="119"/>
      <c r="G57" s="119"/>
      <c r="H57" s="182"/>
      <c r="I57" s="179" t="s">
        <v>72</v>
      </c>
      <c r="J57" s="179" t="s">
        <v>72</v>
      </c>
      <c r="K57" s="179" t="s">
        <v>72</v>
      </c>
      <c r="L57" s="175">
        <f>SUM(L58:L76)</f>
        <v>0</v>
      </c>
      <c r="M57" s="166"/>
      <c r="AI57" s="143" t="s">
        <v>401</v>
      </c>
      <c r="AS57" s="156">
        <f>SUM(AJ58:AJ76)</f>
        <v>0</v>
      </c>
      <c r="AT57" s="156">
        <f>SUM(AK58:AK76)</f>
        <v>0</v>
      </c>
      <c r="AU57" s="156">
        <f>SUM(AL58:AL76)</f>
        <v>0</v>
      </c>
    </row>
    <row r="58" spans="1:64" ht="12" customHeight="1">
      <c r="A58" s="187" t="s">
        <v>94</v>
      </c>
      <c r="B58" s="187" t="s">
        <v>206</v>
      </c>
      <c r="C58" s="177" t="s">
        <v>294</v>
      </c>
      <c r="D58" s="120"/>
      <c r="E58" s="120"/>
      <c r="F58" s="120"/>
      <c r="G58" s="120"/>
      <c r="H58" s="188"/>
      <c r="I58" s="187" t="s">
        <v>379</v>
      </c>
      <c r="J58" s="189">
        <v>58.5</v>
      </c>
      <c r="K58" s="189">
        <v>0</v>
      </c>
      <c r="L58" s="184">
        <f>J58*K58</f>
        <v>0</v>
      </c>
      <c r="M58" s="166"/>
      <c r="Z58" s="144">
        <f>IF(AQ58="5",BJ58,0)</f>
        <v>0</v>
      </c>
      <c r="AB58" s="144">
        <f>IF(AQ58="1",BH58,0)</f>
        <v>0</v>
      </c>
      <c r="AC58" s="144">
        <f>IF(AQ58="1",BI58,0)</f>
        <v>0</v>
      </c>
      <c r="AD58" s="144">
        <f>IF(AQ58="7",BH58,0)</f>
        <v>0</v>
      </c>
      <c r="AE58" s="144">
        <f>IF(AQ58="7",BI58,0)</f>
        <v>0</v>
      </c>
      <c r="AF58" s="144">
        <f>IF(AQ58="2",BH58,0)</f>
        <v>0</v>
      </c>
      <c r="AG58" s="144">
        <f>IF(AQ58="2",BI58,0)</f>
        <v>0</v>
      </c>
      <c r="AH58" s="144">
        <f>IF(AQ58="0",BJ58,0)</f>
        <v>0</v>
      </c>
      <c r="AI58" s="143" t="s">
        <v>401</v>
      </c>
      <c r="AJ58" s="132">
        <f>IF(AN58=0,L58,0)</f>
        <v>0</v>
      </c>
      <c r="AK58" s="132">
        <f>IF(AN58=15,L58,0)</f>
        <v>0</v>
      </c>
      <c r="AL58" s="132">
        <f>IF(AN58=21,L58,0)</f>
        <v>0</v>
      </c>
      <c r="AN58" s="144">
        <v>21</v>
      </c>
      <c r="AO58" s="144">
        <f>K58*0</f>
        <v>0</v>
      </c>
      <c r="AP58" s="144">
        <f>K58*(1-0)</f>
        <v>0</v>
      </c>
      <c r="AQ58" s="145" t="s">
        <v>73</v>
      </c>
      <c r="AV58" s="144">
        <f>AW58+AX58</f>
        <v>0</v>
      </c>
      <c r="AW58" s="144">
        <f>J58*AO58</f>
        <v>0</v>
      </c>
      <c r="AX58" s="144">
        <f>J58*AP58</f>
        <v>0</v>
      </c>
      <c r="AY58" s="147" t="s">
        <v>407</v>
      </c>
      <c r="AZ58" s="147" t="s">
        <v>417</v>
      </c>
      <c r="BA58" s="143" t="s">
        <v>431</v>
      </c>
      <c r="BC58" s="144">
        <f>AW58+AX58</f>
        <v>0</v>
      </c>
      <c r="BD58" s="144">
        <f>K58/(100-BE58)*100</f>
        <v>0</v>
      </c>
      <c r="BE58" s="144">
        <v>0</v>
      </c>
      <c r="BF58" s="144">
        <f>58</f>
        <v>58</v>
      </c>
      <c r="BH58" s="132">
        <f>J58*AO58</f>
        <v>0</v>
      </c>
      <c r="BI58" s="132">
        <f>J58*AP58</f>
        <v>0</v>
      </c>
      <c r="BJ58" s="132">
        <f>J58*K58</f>
        <v>0</v>
      </c>
      <c r="BK58" s="132" t="s">
        <v>437</v>
      </c>
      <c r="BL58" s="144">
        <v>45</v>
      </c>
    </row>
    <row r="59" spans="1:64" ht="12" customHeight="1">
      <c r="A59" s="181" t="s">
        <v>95</v>
      </c>
      <c r="B59" s="181" t="s">
        <v>207</v>
      </c>
      <c r="C59" s="178" t="s">
        <v>295</v>
      </c>
      <c r="D59" s="120"/>
      <c r="E59" s="120"/>
      <c r="F59" s="120"/>
      <c r="G59" s="120"/>
      <c r="H59" s="183"/>
      <c r="I59" s="181" t="s">
        <v>379</v>
      </c>
      <c r="J59" s="186">
        <v>26.75</v>
      </c>
      <c r="K59" s="186">
        <v>0</v>
      </c>
      <c r="L59" s="185">
        <f>J59*K59</f>
        <v>0</v>
      </c>
      <c r="M59" s="166"/>
      <c r="Z59" s="144">
        <f>IF(AQ59="5",BJ59,0)</f>
        <v>0</v>
      </c>
      <c r="AB59" s="144">
        <f>IF(AQ59="1",BH59,0)</f>
        <v>0</v>
      </c>
      <c r="AC59" s="144">
        <f>IF(AQ59="1",BI59,0)</f>
        <v>0</v>
      </c>
      <c r="AD59" s="144">
        <f>IF(AQ59="7",BH59,0)</f>
        <v>0</v>
      </c>
      <c r="AE59" s="144">
        <f>IF(AQ59="7",BI59,0)</f>
        <v>0</v>
      </c>
      <c r="AF59" s="144">
        <f>IF(AQ59="2",BH59,0)</f>
        <v>0</v>
      </c>
      <c r="AG59" s="144">
        <f>IF(AQ59="2",BI59,0)</f>
        <v>0</v>
      </c>
      <c r="AH59" s="144">
        <f>IF(AQ59="0",BJ59,0)</f>
        <v>0</v>
      </c>
      <c r="AI59" s="143" t="s">
        <v>401</v>
      </c>
      <c r="AJ59" s="132">
        <f>IF(AN59=0,L59,0)</f>
        <v>0</v>
      </c>
      <c r="AK59" s="132">
        <f>IF(AN59=15,L59,0)</f>
        <v>0</v>
      </c>
      <c r="AL59" s="132">
        <f>IF(AN59=21,L59,0)</f>
        <v>0</v>
      </c>
      <c r="AN59" s="144">
        <v>21</v>
      </c>
      <c r="AO59" s="144">
        <f>K59*0.862486153846154</f>
        <v>0</v>
      </c>
      <c r="AP59" s="144">
        <f>K59*(1-0.862486153846154)</f>
        <v>0</v>
      </c>
      <c r="AQ59" s="145" t="s">
        <v>73</v>
      </c>
      <c r="AV59" s="144">
        <f>AW59+AX59</f>
        <v>0</v>
      </c>
      <c r="AW59" s="144">
        <f>J59*AO59</f>
        <v>0</v>
      </c>
      <c r="AX59" s="144">
        <f>J59*AP59</f>
        <v>0</v>
      </c>
      <c r="AY59" s="147" t="s">
        <v>407</v>
      </c>
      <c r="AZ59" s="147" t="s">
        <v>417</v>
      </c>
      <c r="BA59" s="143" t="s">
        <v>431</v>
      </c>
      <c r="BC59" s="144">
        <f>AW59+AX59</f>
        <v>0</v>
      </c>
      <c r="BD59" s="144">
        <f>K59/(100-BE59)*100</f>
        <v>0</v>
      </c>
      <c r="BE59" s="144">
        <v>0</v>
      </c>
      <c r="BF59" s="144">
        <f>59</f>
        <v>59</v>
      </c>
      <c r="BH59" s="132">
        <f>J59*AO59</f>
        <v>0</v>
      </c>
      <c r="BI59" s="132">
        <f>J59*AP59</f>
        <v>0</v>
      </c>
      <c r="BJ59" s="132">
        <f>J59*K59</f>
        <v>0</v>
      </c>
      <c r="BK59" s="132" t="s">
        <v>437</v>
      </c>
      <c r="BL59" s="144">
        <v>45</v>
      </c>
    </row>
    <row r="60" spans="1:13" ht="63.75" customHeight="1">
      <c r="A60" s="55"/>
      <c r="B60" s="107" t="s">
        <v>186</v>
      </c>
      <c r="C60" s="114" t="s">
        <v>296</v>
      </c>
      <c r="D60" s="122"/>
      <c r="E60" s="122"/>
      <c r="F60" s="122"/>
      <c r="G60" s="122"/>
      <c r="H60" s="122"/>
      <c r="I60" s="122"/>
      <c r="J60" s="122"/>
      <c r="K60" s="122"/>
      <c r="L60" s="142"/>
      <c r="M60" s="55"/>
    </row>
    <row r="61" spans="1:64" ht="12" customHeight="1">
      <c r="A61" s="181" t="s">
        <v>96</v>
      </c>
      <c r="B61" s="181" t="s">
        <v>208</v>
      </c>
      <c r="C61" s="178" t="s">
        <v>297</v>
      </c>
      <c r="D61" s="120"/>
      <c r="E61" s="120"/>
      <c r="F61" s="120"/>
      <c r="G61" s="120"/>
      <c r="H61" s="183"/>
      <c r="I61" s="181" t="s">
        <v>379</v>
      </c>
      <c r="J61" s="186">
        <v>30</v>
      </c>
      <c r="K61" s="186">
        <v>0</v>
      </c>
      <c r="L61" s="185">
        <f>J61*K61</f>
        <v>0</v>
      </c>
      <c r="M61" s="166"/>
      <c r="Z61" s="144">
        <f>IF(AQ61="5",BJ61,0)</f>
        <v>0</v>
      </c>
      <c r="AB61" s="144">
        <f>IF(AQ61="1",BH61,0)</f>
        <v>0</v>
      </c>
      <c r="AC61" s="144">
        <f>IF(AQ61="1",BI61,0)</f>
        <v>0</v>
      </c>
      <c r="AD61" s="144">
        <f>IF(AQ61="7",BH61,0)</f>
        <v>0</v>
      </c>
      <c r="AE61" s="144">
        <f>IF(AQ61="7",BI61,0)</f>
        <v>0</v>
      </c>
      <c r="AF61" s="144">
        <f>IF(AQ61="2",BH61,0)</f>
        <v>0</v>
      </c>
      <c r="AG61" s="144">
        <f>IF(AQ61="2",BI61,0)</f>
        <v>0</v>
      </c>
      <c r="AH61" s="144">
        <f>IF(AQ61="0",BJ61,0)</f>
        <v>0</v>
      </c>
      <c r="AI61" s="143" t="s">
        <v>401</v>
      </c>
      <c r="AJ61" s="132">
        <f>IF(AN61=0,L61,0)</f>
        <v>0</v>
      </c>
      <c r="AK61" s="132">
        <f>IF(AN61=15,L61,0)</f>
        <v>0</v>
      </c>
      <c r="AL61" s="132">
        <f>IF(AN61=21,L61,0)</f>
        <v>0</v>
      </c>
      <c r="AN61" s="144">
        <v>21</v>
      </c>
      <c r="AO61" s="144">
        <f>K61*0.156042222222222</f>
        <v>0</v>
      </c>
      <c r="AP61" s="144">
        <f>K61*(1-0.156042222222222)</f>
        <v>0</v>
      </c>
      <c r="AQ61" s="145" t="s">
        <v>73</v>
      </c>
      <c r="AV61" s="144">
        <f>AW61+AX61</f>
        <v>0</v>
      </c>
      <c r="AW61" s="144">
        <f>J61*AO61</f>
        <v>0</v>
      </c>
      <c r="AX61" s="144">
        <f>J61*AP61</f>
        <v>0</v>
      </c>
      <c r="AY61" s="147" t="s">
        <v>407</v>
      </c>
      <c r="AZ61" s="147" t="s">
        <v>417</v>
      </c>
      <c r="BA61" s="143" t="s">
        <v>431</v>
      </c>
      <c r="BC61" s="144">
        <f>AW61+AX61</f>
        <v>0</v>
      </c>
      <c r="BD61" s="144">
        <f>K61/(100-BE61)*100</f>
        <v>0</v>
      </c>
      <c r="BE61" s="144">
        <v>0</v>
      </c>
      <c r="BF61" s="144">
        <f>61</f>
        <v>61</v>
      </c>
      <c r="BH61" s="132">
        <f>J61*AO61</f>
        <v>0</v>
      </c>
      <c r="BI61" s="132">
        <f>J61*AP61</f>
        <v>0</v>
      </c>
      <c r="BJ61" s="132">
        <f>J61*K61</f>
        <v>0</v>
      </c>
      <c r="BK61" s="132" t="s">
        <v>437</v>
      </c>
      <c r="BL61" s="144">
        <v>45</v>
      </c>
    </row>
    <row r="62" spans="1:13" ht="12.75" customHeight="1">
      <c r="A62" s="55"/>
      <c r="B62" s="107" t="s">
        <v>186</v>
      </c>
      <c r="C62" s="114" t="s">
        <v>298</v>
      </c>
      <c r="D62" s="122"/>
      <c r="E62" s="122"/>
      <c r="F62" s="122"/>
      <c r="G62" s="122"/>
      <c r="H62" s="122"/>
      <c r="I62" s="122"/>
      <c r="J62" s="122"/>
      <c r="K62" s="122"/>
      <c r="L62" s="142"/>
      <c r="M62" s="55"/>
    </row>
    <row r="63" spans="1:64" ht="12" customHeight="1">
      <c r="A63" s="181" t="s">
        <v>97</v>
      </c>
      <c r="B63" s="181" t="s">
        <v>209</v>
      </c>
      <c r="C63" s="178" t="s">
        <v>299</v>
      </c>
      <c r="D63" s="120"/>
      <c r="E63" s="120"/>
      <c r="F63" s="120"/>
      <c r="G63" s="120"/>
      <c r="H63" s="183"/>
      <c r="I63" s="181" t="s">
        <v>379</v>
      </c>
      <c r="J63" s="186">
        <v>5.75</v>
      </c>
      <c r="K63" s="186">
        <v>0</v>
      </c>
      <c r="L63" s="185">
        <f>J63*K63</f>
        <v>0</v>
      </c>
      <c r="M63" s="166"/>
      <c r="Z63" s="144">
        <f>IF(AQ63="5",BJ63,0)</f>
        <v>0</v>
      </c>
      <c r="AB63" s="144">
        <f>IF(AQ63="1",BH63,0)</f>
        <v>0</v>
      </c>
      <c r="AC63" s="144">
        <f>IF(AQ63="1",BI63,0)</f>
        <v>0</v>
      </c>
      <c r="AD63" s="144">
        <f>IF(AQ63="7",BH63,0)</f>
        <v>0</v>
      </c>
      <c r="AE63" s="144">
        <f>IF(AQ63="7",BI63,0)</f>
        <v>0</v>
      </c>
      <c r="AF63" s="144">
        <f>IF(AQ63="2",BH63,0)</f>
        <v>0</v>
      </c>
      <c r="AG63" s="144">
        <f>IF(AQ63="2",BI63,0)</f>
        <v>0</v>
      </c>
      <c r="AH63" s="144">
        <f>IF(AQ63="0",BJ63,0)</f>
        <v>0</v>
      </c>
      <c r="AI63" s="143" t="s">
        <v>401</v>
      </c>
      <c r="AJ63" s="132">
        <f>IF(AN63=0,L63,0)</f>
        <v>0</v>
      </c>
      <c r="AK63" s="132">
        <f>IF(AN63=15,L63,0)</f>
        <v>0</v>
      </c>
      <c r="AL63" s="132">
        <f>IF(AN63=21,L63,0)</f>
        <v>0</v>
      </c>
      <c r="AN63" s="144">
        <v>21</v>
      </c>
      <c r="AO63" s="144">
        <f>K63*0.701080991735537</f>
        <v>0</v>
      </c>
      <c r="AP63" s="144">
        <f>K63*(1-0.701080991735537)</f>
        <v>0</v>
      </c>
      <c r="AQ63" s="145" t="s">
        <v>73</v>
      </c>
      <c r="AV63" s="144">
        <f>AW63+AX63</f>
        <v>0</v>
      </c>
      <c r="AW63" s="144">
        <f>J63*AO63</f>
        <v>0</v>
      </c>
      <c r="AX63" s="144">
        <f>J63*AP63</f>
        <v>0</v>
      </c>
      <c r="AY63" s="147" t="s">
        <v>407</v>
      </c>
      <c r="AZ63" s="147" t="s">
        <v>417</v>
      </c>
      <c r="BA63" s="143" t="s">
        <v>431</v>
      </c>
      <c r="BC63" s="144">
        <f>AW63+AX63</f>
        <v>0</v>
      </c>
      <c r="BD63" s="144">
        <f>K63/(100-BE63)*100</f>
        <v>0</v>
      </c>
      <c r="BE63" s="144">
        <v>0</v>
      </c>
      <c r="BF63" s="144">
        <f>63</f>
        <v>63</v>
      </c>
      <c r="BH63" s="132">
        <f>J63*AO63</f>
        <v>0</v>
      </c>
      <c r="BI63" s="132">
        <f>J63*AP63</f>
        <v>0</v>
      </c>
      <c r="BJ63" s="132">
        <f>J63*K63</f>
        <v>0</v>
      </c>
      <c r="BK63" s="132" t="s">
        <v>437</v>
      </c>
      <c r="BL63" s="144">
        <v>45</v>
      </c>
    </row>
    <row r="64" spans="1:13" ht="25.5" customHeight="1">
      <c r="A64" s="55"/>
      <c r="B64" s="107" t="s">
        <v>186</v>
      </c>
      <c r="C64" s="114" t="s">
        <v>300</v>
      </c>
      <c r="D64" s="122"/>
      <c r="E64" s="122"/>
      <c r="F64" s="122"/>
      <c r="G64" s="122"/>
      <c r="H64" s="122"/>
      <c r="I64" s="122"/>
      <c r="J64" s="122"/>
      <c r="K64" s="122"/>
      <c r="L64" s="142"/>
      <c r="M64" s="55"/>
    </row>
    <row r="65" spans="1:64" ht="12" customHeight="1">
      <c r="A65" s="181" t="s">
        <v>98</v>
      </c>
      <c r="B65" s="181" t="s">
        <v>210</v>
      </c>
      <c r="C65" s="178" t="s">
        <v>301</v>
      </c>
      <c r="D65" s="120"/>
      <c r="E65" s="120"/>
      <c r="F65" s="120"/>
      <c r="G65" s="120"/>
      <c r="H65" s="183"/>
      <c r="I65" s="181" t="s">
        <v>381</v>
      </c>
      <c r="J65" s="186">
        <v>12</v>
      </c>
      <c r="K65" s="186">
        <v>0</v>
      </c>
      <c r="L65" s="185">
        <f>J65*K65</f>
        <v>0</v>
      </c>
      <c r="M65" s="166"/>
      <c r="Z65" s="144">
        <f>IF(AQ65="5",BJ65,0)</f>
        <v>0</v>
      </c>
      <c r="AB65" s="144">
        <f>IF(AQ65="1",BH65,0)</f>
        <v>0</v>
      </c>
      <c r="AC65" s="144">
        <f>IF(AQ65="1",BI65,0)</f>
        <v>0</v>
      </c>
      <c r="AD65" s="144">
        <f>IF(AQ65="7",BH65,0)</f>
        <v>0</v>
      </c>
      <c r="AE65" s="144">
        <f>IF(AQ65="7",BI65,0)</f>
        <v>0</v>
      </c>
      <c r="AF65" s="144">
        <f>IF(AQ65="2",BH65,0)</f>
        <v>0</v>
      </c>
      <c r="AG65" s="144">
        <f>IF(AQ65="2",BI65,0)</f>
        <v>0</v>
      </c>
      <c r="AH65" s="144">
        <f>IF(AQ65="0",BJ65,0)</f>
        <v>0</v>
      </c>
      <c r="AI65" s="143" t="s">
        <v>401</v>
      </c>
      <c r="AJ65" s="132">
        <f>IF(AN65=0,L65,0)</f>
        <v>0</v>
      </c>
      <c r="AK65" s="132">
        <f>IF(AN65=15,L65,0)</f>
        <v>0</v>
      </c>
      <c r="AL65" s="132">
        <f>IF(AN65=21,L65,0)</f>
        <v>0</v>
      </c>
      <c r="AN65" s="144">
        <v>21</v>
      </c>
      <c r="AO65" s="144">
        <f>K65*0.712869583333333</f>
        <v>0</v>
      </c>
      <c r="AP65" s="144">
        <f>K65*(1-0.712869583333333)</f>
        <v>0</v>
      </c>
      <c r="AQ65" s="145" t="s">
        <v>73</v>
      </c>
      <c r="AV65" s="144">
        <f>AW65+AX65</f>
        <v>0</v>
      </c>
      <c r="AW65" s="144">
        <f>J65*AO65</f>
        <v>0</v>
      </c>
      <c r="AX65" s="144">
        <f>J65*AP65</f>
        <v>0</v>
      </c>
      <c r="AY65" s="147" t="s">
        <v>407</v>
      </c>
      <c r="AZ65" s="147" t="s">
        <v>417</v>
      </c>
      <c r="BA65" s="143" t="s">
        <v>431</v>
      </c>
      <c r="BC65" s="144">
        <f>AW65+AX65</f>
        <v>0</v>
      </c>
      <c r="BD65" s="144">
        <f>K65/(100-BE65)*100</f>
        <v>0</v>
      </c>
      <c r="BE65" s="144">
        <v>0</v>
      </c>
      <c r="BF65" s="144">
        <f>65</f>
        <v>65</v>
      </c>
      <c r="BH65" s="132">
        <f>J65*AO65</f>
        <v>0</v>
      </c>
      <c r="BI65" s="132">
        <f>J65*AP65</f>
        <v>0</v>
      </c>
      <c r="BJ65" s="132">
        <f>J65*K65</f>
        <v>0</v>
      </c>
      <c r="BK65" s="132" t="s">
        <v>437</v>
      </c>
      <c r="BL65" s="144">
        <v>45</v>
      </c>
    </row>
    <row r="66" spans="1:13" ht="12.75" customHeight="1">
      <c r="A66" s="55"/>
      <c r="B66" s="107" t="s">
        <v>186</v>
      </c>
      <c r="C66" s="114" t="s">
        <v>302</v>
      </c>
      <c r="D66" s="122"/>
      <c r="E66" s="122"/>
      <c r="F66" s="122"/>
      <c r="G66" s="122"/>
      <c r="H66" s="122"/>
      <c r="I66" s="122"/>
      <c r="J66" s="122"/>
      <c r="K66" s="122"/>
      <c r="L66" s="142"/>
      <c r="M66" s="55"/>
    </row>
    <row r="67" spans="1:64" ht="12" customHeight="1">
      <c r="A67" s="96" t="s">
        <v>99</v>
      </c>
      <c r="B67" s="106" t="s">
        <v>211</v>
      </c>
      <c r="C67" s="106" t="s">
        <v>303</v>
      </c>
      <c r="D67" s="120"/>
      <c r="E67" s="120"/>
      <c r="F67" s="120"/>
      <c r="G67" s="120"/>
      <c r="H67" s="120"/>
      <c r="I67" s="106" t="s">
        <v>379</v>
      </c>
      <c r="J67" s="132">
        <v>6</v>
      </c>
      <c r="K67" s="132">
        <v>0</v>
      </c>
      <c r="L67" s="151">
        <f>J67*K67</f>
        <v>0</v>
      </c>
      <c r="M67" s="55"/>
      <c r="Z67" s="144">
        <f>IF(AQ67="5",BJ67,0)</f>
        <v>0</v>
      </c>
      <c r="AB67" s="144">
        <f>IF(AQ67="1",BH67,0)</f>
        <v>0</v>
      </c>
      <c r="AC67" s="144">
        <f>IF(AQ67="1",BI67,0)</f>
        <v>0</v>
      </c>
      <c r="AD67" s="144">
        <f>IF(AQ67="7",BH67,0)</f>
        <v>0</v>
      </c>
      <c r="AE67" s="144">
        <f>IF(AQ67="7",BI67,0)</f>
        <v>0</v>
      </c>
      <c r="AF67" s="144">
        <f>IF(AQ67="2",BH67,0)</f>
        <v>0</v>
      </c>
      <c r="AG67" s="144">
        <f>IF(AQ67="2",BI67,0)</f>
        <v>0</v>
      </c>
      <c r="AH67" s="144">
        <f>IF(AQ67="0",BJ67,0)</f>
        <v>0</v>
      </c>
      <c r="AI67" s="143" t="s">
        <v>401</v>
      </c>
      <c r="AJ67" s="132">
        <f>IF(AN67=0,L67,0)</f>
        <v>0</v>
      </c>
      <c r="AK67" s="132">
        <f>IF(AN67=15,L67,0)</f>
        <v>0</v>
      </c>
      <c r="AL67" s="132">
        <f>IF(AN67=21,L67,0)</f>
        <v>0</v>
      </c>
      <c r="AN67" s="144">
        <v>21</v>
      </c>
      <c r="AO67" s="144">
        <f>K67*0.669037142082543</f>
        <v>0</v>
      </c>
      <c r="AP67" s="144">
        <f>K67*(1-0.669037142082543)</f>
        <v>0</v>
      </c>
      <c r="AQ67" s="145" t="s">
        <v>73</v>
      </c>
      <c r="AV67" s="144">
        <f>AW67+AX67</f>
        <v>0</v>
      </c>
      <c r="AW67" s="144">
        <f>J67*AO67</f>
        <v>0</v>
      </c>
      <c r="AX67" s="144">
        <f>J67*AP67</f>
        <v>0</v>
      </c>
      <c r="AY67" s="147" t="s">
        <v>407</v>
      </c>
      <c r="AZ67" s="147" t="s">
        <v>417</v>
      </c>
      <c r="BA67" s="143" t="s">
        <v>431</v>
      </c>
      <c r="BC67" s="144">
        <f>AW67+AX67</f>
        <v>0</v>
      </c>
      <c r="BD67" s="144">
        <f>K67/(100-BE67)*100</f>
        <v>0</v>
      </c>
      <c r="BE67" s="144">
        <v>0</v>
      </c>
      <c r="BF67" s="144">
        <f>67</f>
        <v>67</v>
      </c>
      <c r="BH67" s="132">
        <f>J67*AO67</f>
        <v>0</v>
      </c>
      <c r="BI67" s="132">
        <f>J67*AP67</f>
        <v>0</v>
      </c>
      <c r="BJ67" s="132">
        <f>J67*K67</f>
        <v>0</v>
      </c>
      <c r="BK67" s="132" t="s">
        <v>437</v>
      </c>
      <c r="BL67" s="144">
        <v>45</v>
      </c>
    </row>
    <row r="68" spans="1:13" ht="12.75" customHeight="1">
      <c r="A68" s="55"/>
      <c r="B68" s="107" t="s">
        <v>186</v>
      </c>
      <c r="C68" s="114" t="s">
        <v>304</v>
      </c>
      <c r="D68" s="122"/>
      <c r="E68" s="122"/>
      <c r="F68" s="122"/>
      <c r="G68" s="122"/>
      <c r="H68" s="122"/>
      <c r="I68" s="122"/>
      <c r="J68" s="122"/>
      <c r="K68" s="122"/>
      <c r="L68" s="142"/>
      <c r="M68" s="55"/>
    </row>
    <row r="69" spans="1:13" ht="51" customHeight="1">
      <c r="A69" s="55"/>
      <c r="B69" s="107" t="s">
        <v>184</v>
      </c>
      <c r="C69" s="113" t="s">
        <v>305</v>
      </c>
      <c r="D69" s="121"/>
      <c r="E69" s="121"/>
      <c r="F69" s="121"/>
      <c r="G69" s="121"/>
      <c r="H69" s="121"/>
      <c r="I69" s="121"/>
      <c r="J69" s="121"/>
      <c r="K69" s="121"/>
      <c r="L69" s="141"/>
      <c r="M69" s="55"/>
    </row>
    <row r="70" spans="1:64" ht="12" customHeight="1">
      <c r="A70" s="96" t="s">
        <v>100</v>
      </c>
      <c r="B70" s="106" t="s">
        <v>212</v>
      </c>
      <c r="C70" s="106" t="s">
        <v>306</v>
      </c>
      <c r="D70" s="120"/>
      <c r="E70" s="120"/>
      <c r="F70" s="120"/>
      <c r="G70" s="120"/>
      <c r="H70" s="120"/>
      <c r="I70" s="106" t="s">
        <v>381</v>
      </c>
      <c r="J70" s="132">
        <v>20</v>
      </c>
      <c r="K70" s="132">
        <v>0</v>
      </c>
      <c r="L70" s="151">
        <f>J70*K70</f>
        <v>0</v>
      </c>
      <c r="M70" s="55"/>
      <c r="Z70" s="144">
        <f>IF(AQ70="5",BJ70,0)</f>
        <v>0</v>
      </c>
      <c r="AB70" s="144">
        <f>IF(AQ70="1",BH70,0)</f>
        <v>0</v>
      </c>
      <c r="AC70" s="144">
        <f>IF(AQ70="1",BI70,0)</f>
        <v>0</v>
      </c>
      <c r="AD70" s="144">
        <f>IF(AQ70="7",BH70,0)</f>
        <v>0</v>
      </c>
      <c r="AE70" s="144">
        <f>IF(AQ70="7",BI70,0)</f>
        <v>0</v>
      </c>
      <c r="AF70" s="144">
        <f>IF(AQ70="2",BH70,0)</f>
        <v>0</v>
      </c>
      <c r="AG70" s="144">
        <f>IF(AQ70="2",BI70,0)</f>
        <v>0</v>
      </c>
      <c r="AH70" s="144">
        <f>IF(AQ70="0",BJ70,0)</f>
        <v>0</v>
      </c>
      <c r="AI70" s="143" t="s">
        <v>401</v>
      </c>
      <c r="AJ70" s="132">
        <f>IF(AN70=0,L70,0)</f>
        <v>0</v>
      </c>
      <c r="AK70" s="132">
        <f>IF(AN70=15,L70,0)</f>
        <v>0</v>
      </c>
      <c r="AL70" s="132">
        <f>IF(AN70=21,L70,0)</f>
        <v>0</v>
      </c>
      <c r="AN70" s="144">
        <v>21</v>
      </c>
      <c r="AO70" s="144">
        <f>K70*0.285369261477046</f>
        <v>0</v>
      </c>
      <c r="AP70" s="144">
        <f>K70*(1-0.285369261477046)</f>
        <v>0</v>
      </c>
      <c r="AQ70" s="145" t="s">
        <v>73</v>
      </c>
      <c r="AV70" s="144">
        <f>AW70+AX70</f>
        <v>0</v>
      </c>
      <c r="AW70" s="144">
        <f>J70*AO70</f>
        <v>0</v>
      </c>
      <c r="AX70" s="144">
        <f>J70*AP70</f>
        <v>0</v>
      </c>
      <c r="AY70" s="147" t="s">
        <v>407</v>
      </c>
      <c r="AZ70" s="147" t="s">
        <v>417</v>
      </c>
      <c r="BA70" s="143" t="s">
        <v>431</v>
      </c>
      <c r="BC70" s="144">
        <f>AW70+AX70</f>
        <v>0</v>
      </c>
      <c r="BD70" s="144">
        <f>K70/(100-BE70)*100</f>
        <v>0</v>
      </c>
      <c r="BE70" s="144">
        <v>0</v>
      </c>
      <c r="BF70" s="144">
        <f>70</f>
        <v>70</v>
      </c>
      <c r="BH70" s="132">
        <f>J70*AO70</f>
        <v>0</v>
      </c>
      <c r="BI70" s="132">
        <f>J70*AP70</f>
        <v>0</v>
      </c>
      <c r="BJ70" s="132">
        <f>J70*K70</f>
        <v>0</v>
      </c>
      <c r="BK70" s="132" t="s">
        <v>437</v>
      </c>
      <c r="BL70" s="144">
        <v>45</v>
      </c>
    </row>
    <row r="71" spans="1:13" ht="12.75" customHeight="1">
      <c r="A71" s="55"/>
      <c r="B71" s="107" t="s">
        <v>186</v>
      </c>
      <c r="C71" s="114" t="s">
        <v>307</v>
      </c>
      <c r="D71" s="122"/>
      <c r="E71" s="122"/>
      <c r="F71" s="122"/>
      <c r="G71" s="122"/>
      <c r="H71" s="122"/>
      <c r="I71" s="122"/>
      <c r="J71" s="122"/>
      <c r="K71" s="122"/>
      <c r="L71" s="142"/>
      <c r="M71" s="55"/>
    </row>
    <row r="72" spans="1:13" ht="25.5" customHeight="1">
      <c r="A72" s="55"/>
      <c r="B72" s="107" t="s">
        <v>184</v>
      </c>
      <c r="C72" s="113" t="s">
        <v>308</v>
      </c>
      <c r="D72" s="121"/>
      <c r="E72" s="121"/>
      <c r="F72" s="121"/>
      <c r="G72" s="121"/>
      <c r="H72" s="121"/>
      <c r="I72" s="121"/>
      <c r="J72" s="121"/>
      <c r="K72" s="121"/>
      <c r="L72" s="141"/>
      <c r="M72" s="55"/>
    </row>
    <row r="73" spans="1:64" ht="12" customHeight="1">
      <c r="A73" s="96" t="s">
        <v>101</v>
      </c>
      <c r="B73" s="106" t="s">
        <v>213</v>
      </c>
      <c r="C73" s="106" t="s">
        <v>309</v>
      </c>
      <c r="D73" s="120"/>
      <c r="E73" s="120"/>
      <c r="F73" s="120"/>
      <c r="G73" s="120"/>
      <c r="H73" s="120"/>
      <c r="I73" s="106" t="s">
        <v>380</v>
      </c>
      <c r="J73" s="132">
        <v>0.75</v>
      </c>
      <c r="K73" s="132">
        <v>0</v>
      </c>
      <c r="L73" s="151">
        <f>J73*K73</f>
        <v>0</v>
      </c>
      <c r="M73" s="55"/>
      <c r="Z73" s="144">
        <f>IF(AQ73="5",BJ73,0)</f>
        <v>0</v>
      </c>
      <c r="AB73" s="144">
        <f>IF(AQ73="1",BH73,0)</f>
        <v>0</v>
      </c>
      <c r="AC73" s="144">
        <f>IF(AQ73="1",BI73,0)</f>
        <v>0</v>
      </c>
      <c r="AD73" s="144">
        <f>IF(AQ73="7",BH73,0)</f>
        <v>0</v>
      </c>
      <c r="AE73" s="144">
        <f>IF(AQ73="7",BI73,0)</f>
        <v>0</v>
      </c>
      <c r="AF73" s="144">
        <f>IF(AQ73="2",BH73,0)</f>
        <v>0</v>
      </c>
      <c r="AG73" s="144">
        <f>IF(AQ73="2",BI73,0)</f>
        <v>0</v>
      </c>
      <c r="AH73" s="144">
        <f>IF(AQ73="0",BJ73,0)</f>
        <v>0</v>
      </c>
      <c r="AI73" s="143" t="s">
        <v>401</v>
      </c>
      <c r="AJ73" s="132">
        <f>IF(AN73=0,L73,0)</f>
        <v>0</v>
      </c>
      <c r="AK73" s="132">
        <f>IF(AN73=15,L73,0)</f>
        <v>0</v>
      </c>
      <c r="AL73" s="132">
        <f>IF(AN73=21,L73,0)</f>
        <v>0</v>
      </c>
      <c r="AN73" s="144">
        <v>21</v>
      </c>
      <c r="AO73" s="144">
        <f>K73*0.452986581290503</f>
        <v>0</v>
      </c>
      <c r="AP73" s="144">
        <f>K73*(1-0.452986581290503)</f>
        <v>0</v>
      </c>
      <c r="AQ73" s="145" t="s">
        <v>73</v>
      </c>
      <c r="AV73" s="144">
        <f>AW73+AX73</f>
        <v>0</v>
      </c>
      <c r="AW73" s="144">
        <f>J73*AO73</f>
        <v>0</v>
      </c>
      <c r="AX73" s="144">
        <f>J73*AP73</f>
        <v>0</v>
      </c>
      <c r="AY73" s="147" t="s">
        <v>407</v>
      </c>
      <c r="AZ73" s="147" t="s">
        <v>417</v>
      </c>
      <c r="BA73" s="143" t="s">
        <v>431</v>
      </c>
      <c r="BC73" s="144">
        <f>AW73+AX73</f>
        <v>0</v>
      </c>
      <c r="BD73" s="144">
        <f>K73/(100-BE73)*100</f>
        <v>0</v>
      </c>
      <c r="BE73" s="144">
        <v>0</v>
      </c>
      <c r="BF73" s="144">
        <f>73</f>
        <v>73</v>
      </c>
      <c r="BH73" s="132">
        <f>J73*AO73</f>
        <v>0</v>
      </c>
      <c r="BI73" s="132">
        <f>J73*AP73</f>
        <v>0</v>
      </c>
      <c r="BJ73" s="132">
        <f>J73*K73</f>
        <v>0</v>
      </c>
      <c r="BK73" s="132" t="s">
        <v>437</v>
      </c>
      <c r="BL73" s="144">
        <v>45</v>
      </c>
    </row>
    <row r="74" spans="1:13" ht="25.5" customHeight="1">
      <c r="A74" s="55"/>
      <c r="B74" s="107" t="s">
        <v>186</v>
      </c>
      <c r="C74" s="114" t="s">
        <v>310</v>
      </c>
      <c r="D74" s="122"/>
      <c r="E74" s="122"/>
      <c r="F74" s="122"/>
      <c r="G74" s="122"/>
      <c r="H74" s="122"/>
      <c r="I74" s="122"/>
      <c r="J74" s="122"/>
      <c r="K74" s="122"/>
      <c r="L74" s="142"/>
      <c r="M74" s="55"/>
    </row>
    <row r="75" spans="1:64" ht="12" customHeight="1">
      <c r="A75" s="96" t="s">
        <v>102</v>
      </c>
      <c r="B75" s="106" t="s">
        <v>214</v>
      </c>
      <c r="C75" s="106" t="s">
        <v>311</v>
      </c>
      <c r="D75" s="120"/>
      <c r="E75" s="120"/>
      <c r="F75" s="120"/>
      <c r="G75" s="120"/>
      <c r="H75" s="120"/>
      <c r="I75" s="106" t="s">
        <v>379</v>
      </c>
      <c r="J75" s="132">
        <v>12.5</v>
      </c>
      <c r="K75" s="132">
        <v>0</v>
      </c>
      <c r="L75" s="151">
        <f>J75*K75</f>
        <v>0</v>
      </c>
      <c r="M75" s="55"/>
      <c r="Z75" s="144">
        <f>IF(AQ75="5",BJ75,0)</f>
        <v>0</v>
      </c>
      <c r="AB75" s="144">
        <f>IF(AQ75="1",BH75,0)</f>
        <v>0</v>
      </c>
      <c r="AC75" s="144">
        <f>IF(AQ75="1",BI75,0)</f>
        <v>0</v>
      </c>
      <c r="AD75" s="144">
        <f>IF(AQ75="7",BH75,0)</f>
        <v>0</v>
      </c>
      <c r="AE75" s="144">
        <f>IF(AQ75="7",BI75,0)</f>
        <v>0</v>
      </c>
      <c r="AF75" s="144">
        <f>IF(AQ75="2",BH75,0)</f>
        <v>0</v>
      </c>
      <c r="AG75" s="144">
        <f>IF(AQ75="2",BI75,0)</f>
        <v>0</v>
      </c>
      <c r="AH75" s="144">
        <f>IF(AQ75="0",BJ75,0)</f>
        <v>0</v>
      </c>
      <c r="AI75" s="143" t="s">
        <v>401</v>
      </c>
      <c r="AJ75" s="132">
        <f>IF(AN75=0,L75,0)</f>
        <v>0</v>
      </c>
      <c r="AK75" s="132">
        <f>IF(AN75=15,L75,0)</f>
        <v>0</v>
      </c>
      <c r="AL75" s="132">
        <f>IF(AN75=21,L75,0)</f>
        <v>0</v>
      </c>
      <c r="AN75" s="144">
        <v>21</v>
      </c>
      <c r="AO75" s="144">
        <f>K75*0.0453791272606604</f>
        <v>0</v>
      </c>
      <c r="AP75" s="144">
        <f>K75*(1-0.0453791272606604)</f>
        <v>0</v>
      </c>
      <c r="AQ75" s="145" t="s">
        <v>73</v>
      </c>
      <c r="AV75" s="144">
        <f>AW75+AX75</f>
        <v>0</v>
      </c>
      <c r="AW75" s="144">
        <f>J75*AO75</f>
        <v>0</v>
      </c>
      <c r="AX75" s="144">
        <f>J75*AP75</f>
        <v>0</v>
      </c>
      <c r="AY75" s="147" t="s">
        <v>407</v>
      </c>
      <c r="AZ75" s="147" t="s">
        <v>417</v>
      </c>
      <c r="BA75" s="143" t="s">
        <v>431</v>
      </c>
      <c r="BC75" s="144">
        <f>AW75+AX75</f>
        <v>0</v>
      </c>
      <c r="BD75" s="144">
        <f>K75/(100-BE75)*100</f>
        <v>0</v>
      </c>
      <c r="BE75" s="144">
        <v>0</v>
      </c>
      <c r="BF75" s="144">
        <f>75</f>
        <v>75</v>
      </c>
      <c r="BH75" s="132">
        <f>J75*AO75</f>
        <v>0</v>
      </c>
      <c r="BI75" s="132">
        <f>J75*AP75</f>
        <v>0</v>
      </c>
      <c r="BJ75" s="132">
        <f>J75*K75</f>
        <v>0</v>
      </c>
      <c r="BK75" s="132" t="s">
        <v>437</v>
      </c>
      <c r="BL75" s="144">
        <v>45</v>
      </c>
    </row>
    <row r="76" spans="1:64" ht="12" customHeight="1">
      <c r="A76" s="96" t="s">
        <v>103</v>
      </c>
      <c r="B76" s="106" t="s">
        <v>215</v>
      </c>
      <c r="C76" s="106" t="s">
        <v>312</v>
      </c>
      <c r="D76" s="120"/>
      <c r="E76" s="120"/>
      <c r="F76" s="120"/>
      <c r="G76" s="120"/>
      <c r="H76" s="120"/>
      <c r="I76" s="106" t="s">
        <v>379</v>
      </c>
      <c r="J76" s="132">
        <v>12.5</v>
      </c>
      <c r="K76" s="132">
        <v>0</v>
      </c>
      <c r="L76" s="151">
        <f>J76*K76</f>
        <v>0</v>
      </c>
      <c r="M76" s="55"/>
      <c r="Z76" s="144">
        <f>IF(AQ76="5",BJ76,0)</f>
        <v>0</v>
      </c>
      <c r="AB76" s="144">
        <f>IF(AQ76="1",BH76,0)</f>
        <v>0</v>
      </c>
      <c r="AC76" s="144">
        <f>IF(AQ76="1",BI76,0)</f>
        <v>0</v>
      </c>
      <c r="AD76" s="144">
        <f>IF(AQ76="7",BH76,0)</f>
        <v>0</v>
      </c>
      <c r="AE76" s="144">
        <f>IF(AQ76="7",BI76,0)</f>
        <v>0</v>
      </c>
      <c r="AF76" s="144">
        <f>IF(AQ76="2",BH76,0)</f>
        <v>0</v>
      </c>
      <c r="AG76" s="144">
        <f>IF(AQ76="2",BI76,0)</f>
        <v>0</v>
      </c>
      <c r="AH76" s="144">
        <f>IF(AQ76="0",BJ76,0)</f>
        <v>0</v>
      </c>
      <c r="AI76" s="143" t="s">
        <v>401</v>
      </c>
      <c r="AJ76" s="132">
        <f>IF(AN76=0,L76,0)</f>
        <v>0</v>
      </c>
      <c r="AK76" s="132">
        <f>IF(AN76=15,L76,0)</f>
        <v>0</v>
      </c>
      <c r="AL76" s="132">
        <f>IF(AN76=21,L76,0)</f>
        <v>0</v>
      </c>
      <c r="AN76" s="144">
        <v>21</v>
      </c>
      <c r="AO76" s="144">
        <f>K76*0.187545787545788</f>
        <v>0</v>
      </c>
      <c r="AP76" s="144">
        <f>K76*(1-0.187545787545788)</f>
        <v>0</v>
      </c>
      <c r="AQ76" s="145" t="s">
        <v>73</v>
      </c>
      <c r="AV76" s="144">
        <f>AW76+AX76</f>
        <v>0</v>
      </c>
      <c r="AW76" s="144">
        <f>J76*AO76</f>
        <v>0</v>
      </c>
      <c r="AX76" s="144">
        <f>J76*AP76</f>
        <v>0</v>
      </c>
      <c r="AY76" s="147" t="s">
        <v>407</v>
      </c>
      <c r="AZ76" s="147" t="s">
        <v>417</v>
      </c>
      <c r="BA76" s="143" t="s">
        <v>431</v>
      </c>
      <c r="BC76" s="144">
        <f>AW76+AX76</f>
        <v>0</v>
      </c>
      <c r="BD76" s="144">
        <f>K76/(100-BE76)*100</f>
        <v>0</v>
      </c>
      <c r="BE76" s="144">
        <v>0</v>
      </c>
      <c r="BF76" s="144">
        <f>76</f>
        <v>76</v>
      </c>
      <c r="BH76" s="132">
        <f>J76*AO76</f>
        <v>0</v>
      </c>
      <c r="BI76" s="132">
        <f>J76*AP76</f>
        <v>0</v>
      </c>
      <c r="BJ76" s="132">
        <f>J76*K76</f>
        <v>0</v>
      </c>
      <c r="BK76" s="132" t="s">
        <v>437</v>
      </c>
      <c r="BL76" s="144">
        <v>45</v>
      </c>
    </row>
    <row r="77" spans="1:13" ht="25.5" customHeight="1">
      <c r="A77" s="55"/>
      <c r="B77" s="107" t="s">
        <v>184</v>
      </c>
      <c r="C77" s="113" t="s">
        <v>313</v>
      </c>
      <c r="D77" s="121"/>
      <c r="E77" s="121"/>
      <c r="F77" s="121"/>
      <c r="G77" s="121"/>
      <c r="H77" s="121"/>
      <c r="I77" s="121"/>
      <c r="J77" s="121"/>
      <c r="K77" s="121"/>
      <c r="L77" s="141"/>
      <c r="M77" s="55"/>
    </row>
    <row r="78" spans="1:47" ht="12" customHeight="1">
      <c r="A78" s="95"/>
      <c r="B78" s="105" t="s">
        <v>216</v>
      </c>
      <c r="C78" s="105" t="s">
        <v>314</v>
      </c>
      <c r="D78" s="119"/>
      <c r="E78" s="119"/>
      <c r="F78" s="119"/>
      <c r="G78" s="119"/>
      <c r="H78" s="119"/>
      <c r="I78" s="129" t="s">
        <v>72</v>
      </c>
      <c r="J78" s="129" t="s">
        <v>72</v>
      </c>
      <c r="K78" s="129" t="s">
        <v>72</v>
      </c>
      <c r="L78" s="150">
        <f>SUM(L79:L90)</f>
        <v>0</v>
      </c>
      <c r="M78" s="55"/>
      <c r="AI78" s="143" t="s">
        <v>401</v>
      </c>
      <c r="AS78" s="156">
        <f>SUM(AJ79:AJ90)</f>
        <v>0</v>
      </c>
      <c r="AT78" s="156">
        <f>SUM(AK79:AK90)</f>
        <v>0</v>
      </c>
      <c r="AU78" s="156">
        <f>SUM(AL79:AL90)</f>
        <v>0</v>
      </c>
    </row>
    <row r="79" spans="1:64" ht="12" customHeight="1">
      <c r="A79" s="181" t="s">
        <v>104</v>
      </c>
      <c r="B79" s="181" t="s">
        <v>217</v>
      </c>
      <c r="C79" s="178" t="s">
        <v>315</v>
      </c>
      <c r="D79" s="120"/>
      <c r="E79" s="120"/>
      <c r="F79" s="120"/>
      <c r="G79" s="120"/>
      <c r="H79" s="183"/>
      <c r="I79" s="181" t="s">
        <v>379</v>
      </c>
      <c r="J79" s="186">
        <v>41.87</v>
      </c>
      <c r="K79" s="186">
        <v>0</v>
      </c>
      <c r="L79" s="185">
        <f>J79*K79</f>
        <v>0</v>
      </c>
      <c r="M79" s="166"/>
      <c r="Z79" s="144">
        <f>IF(AQ79="5",BJ79,0)</f>
        <v>0</v>
      </c>
      <c r="AB79" s="144">
        <f>IF(AQ79="1",BH79,0)</f>
        <v>0</v>
      </c>
      <c r="AC79" s="144">
        <f>IF(AQ79="1",BI79,0)</f>
        <v>0</v>
      </c>
      <c r="AD79" s="144">
        <f>IF(AQ79="7",BH79,0)</f>
        <v>0</v>
      </c>
      <c r="AE79" s="144">
        <f>IF(AQ79="7",BI79,0)</f>
        <v>0</v>
      </c>
      <c r="AF79" s="144">
        <f>IF(AQ79="2",BH79,0)</f>
        <v>0</v>
      </c>
      <c r="AG79" s="144">
        <f>IF(AQ79="2",BI79,0)</f>
        <v>0</v>
      </c>
      <c r="AH79" s="144">
        <f>IF(AQ79="0",BJ79,0)</f>
        <v>0</v>
      </c>
      <c r="AI79" s="143" t="s">
        <v>401</v>
      </c>
      <c r="AJ79" s="132">
        <f>IF(AN79=0,L79,0)</f>
        <v>0</v>
      </c>
      <c r="AK79" s="132">
        <f>IF(AN79=15,L79,0)</f>
        <v>0</v>
      </c>
      <c r="AL79" s="132">
        <f>IF(AN79=21,L79,0)</f>
        <v>0</v>
      </c>
      <c r="AN79" s="144">
        <v>21</v>
      </c>
      <c r="AO79" s="144">
        <f>K79*0.371701886291956</f>
        <v>0</v>
      </c>
      <c r="AP79" s="144">
        <f>K79*(1-0.371701886291956)</f>
        <v>0</v>
      </c>
      <c r="AQ79" s="145" t="s">
        <v>79</v>
      </c>
      <c r="AV79" s="144">
        <f>AW79+AX79</f>
        <v>0</v>
      </c>
      <c r="AW79" s="144">
        <f>J79*AO79</f>
        <v>0</v>
      </c>
      <c r="AX79" s="144">
        <f>J79*AP79</f>
        <v>0</v>
      </c>
      <c r="AY79" s="147" t="s">
        <v>408</v>
      </c>
      <c r="AZ79" s="147" t="s">
        <v>418</v>
      </c>
      <c r="BA79" s="143" t="s">
        <v>431</v>
      </c>
      <c r="BC79" s="144">
        <f>AW79+AX79</f>
        <v>0</v>
      </c>
      <c r="BD79" s="144">
        <f>K79/(100-BE79)*100</f>
        <v>0</v>
      </c>
      <c r="BE79" s="144">
        <v>0</v>
      </c>
      <c r="BF79" s="144">
        <f>79</f>
        <v>79</v>
      </c>
      <c r="BH79" s="132">
        <f>J79*AO79</f>
        <v>0</v>
      </c>
      <c r="BI79" s="132">
        <f>J79*AP79</f>
        <v>0</v>
      </c>
      <c r="BJ79" s="132">
        <f>J79*K79</f>
        <v>0</v>
      </c>
      <c r="BK79" s="132" t="s">
        <v>437</v>
      </c>
      <c r="BL79" s="144">
        <v>711</v>
      </c>
    </row>
    <row r="80" spans="1:13" ht="12.75" customHeight="1">
      <c r="A80" s="55"/>
      <c r="B80" s="107" t="s">
        <v>186</v>
      </c>
      <c r="C80" s="114" t="s">
        <v>316</v>
      </c>
      <c r="D80" s="122"/>
      <c r="E80" s="122"/>
      <c r="F80" s="122"/>
      <c r="G80" s="122"/>
      <c r="H80" s="122"/>
      <c r="I80" s="122"/>
      <c r="J80" s="122"/>
      <c r="K80" s="122"/>
      <c r="L80" s="142"/>
      <c r="M80" s="55"/>
    </row>
    <row r="81" spans="1:64" ht="12" customHeight="1">
      <c r="A81" s="181" t="s">
        <v>105</v>
      </c>
      <c r="B81" s="181" t="s">
        <v>218</v>
      </c>
      <c r="C81" s="178" t="s">
        <v>317</v>
      </c>
      <c r="D81" s="120"/>
      <c r="E81" s="120"/>
      <c r="F81" s="120"/>
      <c r="G81" s="120"/>
      <c r="H81" s="183"/>
      <c r="I81" s="181" t="s">
        <v>381</v>
      </c>
      <c r="J81" s="186">
        <v>28.5</v>
      </c>
      <c r="K81" s="186">
        <v>0</v>
      </c>
      <c r="L81" s="185">
        <f>J81*K81</f>
        <v>0</v>
      </c>
      <c r="M81" s="166"/>
      <c r="Z81" s="144">
        <f>IF(AQ81="5",BJ81,0)</f>
        <v>0</v>
      </c>
      <c r="AB81" s="144">
        <f>IF(AQ81="1",BH81,0)</f>
        <v>0</v>
      </c>
      <c r="AC81" s="144">
        <f>IF(AQ81="1",BI81,0)</f>
        <v>0</v>
      </c>
      <c r="AD81" s="144">
        <f>IF(AQ81="7",BH81,0)</f>
        <v>0</v>
      </c>
      <c r="AE81" s="144">
        <f>IF(AQ81="7",BI81,0)</f>
        <v>0</v>
      </c>
      <c r="AF81" s="144">
        <f>IF(AQ81="2",BH81,0)</f>
        <v>0</v>
      </c>
      <c r="AG81" s="144">
        <f>IF(AQ81="2",BI81,0)</f>
        <v>0</v>
      </c>
      <c r="AH81" s="144">
        <f>IF(AQ81="0",BJ81,0)</f>
        <v>0</v>
      </c>
      <c r="AI81" s="143" t="s">
        <v>401</v>
      </c>
      <c r="AJ81" s="132">
        <f>IF(AN81=0,L81,0)</f>
        <v>0</v>
      </c>
      <c r="AK81" s="132">
        <f>IF(AN81=15,L81,0)</f>
        <v>0</v>
      </c>
      <c r="AL81" s="132">
        <f>IF(AN81=21,L81,0)</f>
        <v>0</v>
      </c>
      <c r="AN81" s="144">
        <v>21</v>
      </c>
      <c r="AO81" s="144">
        <f>K81*0</f>
        <v>0</v>
      </c>
      <c r="AP81" s="144">
        <f>K81*(1-0)</f>
        <v>0</v>
      </c>
      <c r="AQ81" s="145" t="s">
        <v>79</v>
      </c>
      <c r="AV81" s="144">
        <f>AW81+AX81</f>
        <v>0</v>
      </c>
      <c r="AW81" s="144">
        <f>J81*AO81</f>
        <v>0</v>
      </c>
      <c r="AX81" s="144">
        <f>J81*AP81</f>
        <v>0</v>
      </c>
      <c r="AY81" s="147" t="s">
        <v>408</v>
      </c>
      <c r="AZ81" s="147" t="s">
        <v>418</v>
      </c>
      <c r="BA81" s="143" t="s">
        <v>431</v>
      </c>
      <c r="BC81" s="144">
        <f>AW81+AX81</f>
        <v>0</v>
      </c>
      <c r="BD81" s="144">
        <f>K81/(100-BE81)*100</f>
        <v>0</v>
      </c>
      <c r="BE81" s="144">
        <v>0</v>
      </c>
      <c r="BF81" s="144">
        <f>81</f>
        <v>81</v>
      </c>
      <c r="BH81" s="132">
        <f>J81*AO81</f>
        <v>0</v>
      </c>
      <c r="BI81" s="132">
        <f>J81*AP81</f>
        <v>0</v>
      </c>
      <c r="BJ81" s="132">
        <f>J81*K81</f>
        <v>0</v>
      </c>
      <c r="BK81" s="132" t="s">
        <v>437</v>
      </c>
      <c r="BL81" s="144">
        <v>711</v>
      </c>
    </row>
    <row r="82" spans="1:13" ht="12.75" customHeight="1">
      <c r="A82" s="55"/>
      <c r="B82" s="107" t="s">
        <v>186</v>
      </c>
      <c r="C82" s="114" t="s">
        <v>318</v>
      </c>
      <c r="D82" s="122"/>
      <c r="E82" s="122"/>
      <c r="F82" s="122"/>
      <c r="G82" s="122"/>
      <c r="H82" s="122"/>
      <c r="I82" s="122"/>
      <c r="J82" s="122"/>
      <c r="K82" s="122"/>
      <c r="L82" s="142"/>
      <c r="M82" s="55"/>
    </row>
    <row r="83" spans="1:64" ht="12" customHeight="1">
      <c r="A83" s="181" t="s">
        <v>106</v>
      </c>
      <c r="B83" s="181" t="s">
        <v>219</v>
      </c>
      <c r="C83" s="178" t="s">
        <v>319</v>
      </c>
      <c r="D83" s="120"/>
      <c r="E83" s="120"/>
      <c r="F83" s="120"/>
      <c r="G83" s="120"/>
      <c r="H83" s="183"/>
      <c r="I83" s="181" t="s">
        <v>379</v>
      </c>
      <c r="J83" s="186">
        <v>41.9</v>
      </c>
      <c r="K83" s="186">
        <v>0</v>
      </c>
      <c r="L83" s="185">
        <f>J83*K83</f>
        <v>0</v>
      </c>
      <c r="M83" s="166"/>
      <c r="Z83" s="144">
        <f>IF(AQ83="5",BJ83,0)</f>
        <v>0</v>
      </c>
      <c r="AB83" s="144">
        <f>IF(AQ83="1",BH83,0)</f>
        <v>0</v>
      </c>
      <c r="AC83" s="144">
        <f>IF(AQ83="1",BI83,0)</f>
        <v>0</v>
      </c>
      <c r="AD83" s="144">
        <f>IF(AQ83="7",BH83,0)</f>
        <v>0</v>
      </c>
      <c r="AE83" s="144">
        <f>IF(AQ83="7",BI83,0)</f>
        <v>0</v>
      </c>
      <c r="AF83" s="144">
        <f>IF(AQ83="2",BH83,0)</f>
        <v>0</v>
      </c>
      <c r="AG83" s="144">
        <f>IF(AQ83="2",BI83,0)</f>
        <v>0</v>
      </c>
      <c r="AH83" s="144">
        <f>IF(AQ83="0",BJ83,0)</f>
        <v>0</v>
      </c>
      <c r="AI83" s="143" t="s">
        <v>401</v>
      </c>
      <c r="AJ83" s="132">
        <f>IF(AN83=0,L83,0)</f>
        <v>0</v>
      </c>
      <c r="AK83" s="132">
        <f>IF(AN83=15,L83,0)</f>
        <v>0</v>
      </c>
      <c r="AL83" s="132">
        <f>IF(AN83=21,L83,0)</f>
        <v>0</v>
      </c>
      <c r="AN83" s="144">
        <v>21</v>
      </c>
      <c r="AO83" s="144">
        <f>K83*0.6313888</f>
        <v>0</v>
      </c>
      <c r="AP83" s="144">
        <f>K83*(1-0.6313888)</f>
        <v>0</v>
      </c>
      <c r="AQ83" s="145" t="s">
        <v>79</v>
      </c>
      <c r="AV83" s="144">
        <f>AW83+AX83</f>
        <v>0</v>
      </c>
      <c r="AW83" s="144">
        <f>J83*AO83</f>
        <v>0</v>
      </c>
      <c r="AX83" s="144">
        <f>J83*AP83</f>
        <v>0</v>
      </c>
      <c r="AY83" s="147" t="s">
        <v>408</v>
      </c>
      <c r="AZ83" s="147" t="s">
        <v>418</v>
      </c>
      <c r="BA83" s="143" t="s">
        <v>431</v>
      </c>
      <c r="BC83" s="144">
        <f>AW83+AX83</f>
        <v>0</v>
      </c>
      <c r="BD83" s="144">
        <f>K83/(100-BE83)*100</f>
        <v>0</v>
      </c>
      <c r="BE83" s="144">
        <v>0</v>
      </c>
      <c r="BF83" s="144">
        <f>83</f>
        <v>83</v>
      </c>
      <c r="BH83" s="132">
        <f>J83*AO83</f>
        <v>0</v>
      </c>
      <c r="BI83" s="132">
        <f>J83*AP83</f>
        <v>0</v>
      </c>
      <c r="BJ83" s="132">
        <f>J83*K83</f>
        <v>0</v>
      </c>
      <c r="BK83" s="132" t="s">
        <v>437</v>
      </c>
      <c r="BL83" s="144">
        <v>711</v>
      </c>
    </row>
    <row r="84" spans="1:13" ht="12.75" customHeight="1">
      <c r="A84" s="55"/>
      <c r="B84" s="107" t="s">
        <v>186</v>
      </c>
      <c r="C84" s="114" t="s">
        <v>320</v>
      </c>
      <c r="D84" s="122"/>
      <c r="E84" s="122"/>
      <c r="F84" s="122"/>
      <c r="G84" s="122"/>
      <c r="H84" s="122"/>
      <c r="I84" s="122"/>
      <c r="J84" s="122"/>
      <c r="K84" s="122"/>
      <c r="L84" s="142"/>
      <c r="M84" s="55"/>
    </row>
    <row r="85" spans="1:13" ht="12.75" customHeight="1">
      <c r="A85" s="55"/>
      <c r="B85" s="107" t="s">
        <v>184</v>
      </c>
      <c r="C85" s="113" t="s">
        <v>321</v>
      </c>
      <c r="D85" s="121"/>
      <c r="E85" s="121"/>
      <c r="F85" s="121"/>
      <c r="G85" s="121"/>
      <c r="H85" s="121"/>
      <c r="I85" s="121"/>
      <c r="J85" s="121"/>
      <c r="K85" s="121"/>
      <c r="L85" s="141"/>
      <c r="M85" s="55"/>
    </row>
    <row r="86" spans="1:64" ht="12" customHeight="1">
      <c r="A86" s="181" t="s">
        <v>107</v>
      </c>
      <c r="B86" s="181" t="s">
        <v>220</v>
      </c>
      <c r="C86" s="178" t="s">
        <v>322</v>
      </c>
      <c r="D86" s="120"/>
      <c r="E86" s="120"/>
      <c r="F86" s="120"/>
      <c r="G86" s="120"/>
      <c r="H86" s="183"/>
      <c r="I86" s="181" t="s">
        <v>379</v>
      </c>
      <c r="J86" s="186">
        <v>33.755</v>
      </c>
      <c r="K86" s="186">
        <v>0</v>
      </c>
      <c r="L86" s="185">
        <f>J86*K86</f>
        <v>0</v>
      </c>
      <c r="M86" s="166"/>
      <c r="Z86" s="144">
        <f>IF(AQ86="5",BJ86,0)</f>
        <v>0</v>
      </c>
      <c r="AB86" s="144">
        <f>IF(AQ86="1",BH86,0)</f>
        <v>0</v>
      </c>
      <c r="AC86" s="144">
        <f>IF(AQ86="1",BI86,0)</f>
        <v>0</v>
      </c>
      <c r="AD86" s="144">
        <f>IF(AQ86="7",BH86,0)</f>
        <v>0</v>
      </c>
      <c r="AE86" s="144">
        <f>IF(AQ86="7",BI86,0)</f>
        <v>0</v>
      </c>
      <c r="AF86" s="144">
        <f>IF(AQ86="2",BH86,0)</f>
        <v>0</v>
      </c>
      <c r="AG86" s="144">
        <f>IF(AQ86="2",BI86,0)</f>
        <v>0</v>
      </c>
      <c r="AH86" s="144">
        <f>IF(AQ86="0",BJ86,0)</f>
        <v>0</v>
      </c>
      <c r="AI86" s="143" t="s">
        <v>401</v>
      </c>
      <c r="AJ86" s="132">
        <f>IF(AN86=0,L86,0)</f>
        <v>0</v>
      </c>
      <c r="AK86" s="132">
        <f>IF(AN86=15,L86,0)</f>
        <v>0</v>
      </c>
      <c r="AL86" s="132">
        <f>IF(AN86=21,L86,0)</f>
        <v>0</v>
      </c>
      <c r="AN86" s="144">
        <v>21</v>
      </c>
      <c r="AO86" s="144">
        <f>K86*0.708298679245283</f>
        <v>0</v>
      </c>
      <c r="AP86" s="144">
        <f>K86*(1-0.708298679245283)</f>
        <v>0</v>
      </c>
      <c r="AQ86" s="145" t="s">
        <v>79</v>
      </c>
      <c r="AV86" s="144">
        <f>AW86+AX86</f>
        <v>0</v>
      </c>
      <c r="AW86" s="144">
        <f>J86*AO86</f>
        <v>0</v>
      </c>
      <c r="AX86" s="144">
        <f>J86*AP86</f>
        <v>0</v>
      </c>
      <c r="AY86" s="147" t="s">
        <v>408</v>
      </c>
      <c r="AZ86" s="147" t="s">
        <v>418</v>
      </c>
      <c r="BA86" s="143" t="s">
        <v>431</v>
      </c>
      <c r="BC86" s="144">
        <f>AW86+AX86</f>
        <v>0</v>
      </c>
      <c r="BD86" s="144">
        <f>K86/(100-BE86)*100</f>
        <v>0</v>
      </c>
      <c r="BE86" s="144">
        <v>0</v>
      </c>
      <c r="BF86" s="144">
        <f>86</f>
        <v>86</v>
      </c>
      <c r="BH86" s="132">
        <f>J86*AO86</f>
        <v>0</v>
      </c>
      <c r="BI86" s="132">
        <f>J86*AP86</f>
        <v>0</v>
      </c>
      <c r="BJ86" s="132">
        <f>J86*K86</f>
        <v>0</v>
      </c>
      <c r="BK86" s="132" t="s">
        <v>437</v>
      </c>
      <c r="BL86" s="144">
        <v>711</v>
      </c>
    </row>
    <row r="87" spans="1:13" ht="12.75" customHeight="1">
      <c r="A87" s="55"/>
      <c r="B87" s="107" t="s">
        <v>184</v>
      </c>
      <c r="C87" s="113" t="s">
        <v>323</v>
      </c>
      <c r="D87" s="121"/>
      <c r="E87" s="121"/>
      <c r="F87" s="121"/>
      <c r="G87" s="121"/>
      <c r="H87" s="121"/>
      <c r="I87" s="121"/>
      <c r="J87" s="121"/>
      <c r="K87" s="121"/>
      <c r="L87" s="141"/>
      <c r="M87" s="55"/>
    </row>
    <row r="88" spans="1:64" ht="12" customHeight="1">
      <c r="A88" s="181" t="s">
        <v>108</v>
      </c>
      <c r="B88" s="181" t="s">
        <v>221</v>
      </c>
      <c r="C88" s="178" t="s">
        <v>324</v>
      </c>
      <c r="D88" s="120"/>
      <c r="E88" s="120"/>
      <c r="F88" s="120"/>
      <c r="G88" s="120"/>
      <c r="H88" s="183"/>
      <c r="I88" s="181" t="s">
        <v>382</v>
      </c>
      <c r="J88" s="186">
        <v>2</v>
      </c>
      <c r="K88" s="186">
        <v>0</v>
      </c>
      <c r="L88" s="185">
        <f>J88*K88</f>
        <v>0</v>
      </c>
      <c r="M88" s="166"/>
      <c r="Z88" s="144">
        <f>IF(AQ88="5",BJ88,0)</f>
        <v>0</v>
      </c>
      <c r="AB88" s="144">
        <f>IF(AQ88="1",BH88,0)</f>
        <v>0</v>
      </c>
      <c r="AC88" s="144">
        <f>IF(AQ88="1",BI88,0)</f>
        <v>0</v>
      </c>
      <c r="AD88" s="144">
        <f>IF(AQ88="7",BH88,0)</f>
        <v>0</v>
      </c>
      <c r="AE88" s="144">
        <f>IF(AQ88="7",BI88,0)</f>
        <v>0</v>
      </c>
      <c r="AF88" s="144">
        <f>IF(AQ88="2",BH88,0)</f>
        <v>0</v>
      </c>
      <c r="AG88" s="144">
        <f>IF(AQ88="2",BI88,0)</f>
        <v>0</v>
      </c>
      <c r="AH88" s="144">
        <f>IF(AQ88="0",BJ88,0)</f>
        <v>0</v>
      </c>
      <c r="AI88" s="143" t="s">
        <v>401</v>
      </c>
      <c r="AJ88" s="132">
        <f>IF(AN88=0,L88,0)</f>
        <v>0</v>
      </c>
      <c r="AK88" s="132">
        <f>IF(AN88=15,L88,0)</f>
        <v>0</v>
      </c>
      <c r="AL88" s="132">
        <f>IF(AN88=21,L88,0)</f>
        <v>0</v>
      </c>
      <c r="AN88" s="144">
        <v>21</v>
      </c>
      <c r="AO88" s="144">
        <f>K88*0</f>
        <v>0</v>
      </c>
      <c r="AP88" s="144">
        <f>K88*(1-0)</f>
        <v>0</v>
      </c>
      <c r="AQ88" s="145" t="s">
        <v>74</v>
      </c>
      <c r="AV88" s="144">
        <f>AW88+AX88</f>
        <v>0</v>
      </c>
      <c r="AW88" s="144">
        <f>J88*AO88</f>
        <v>0</v>
      </c>
      <c r="AX88" s="144">
        <f>J88*AP88</f>
        <v>0</v>
      </c>
      <c r="AY88" s="147" t="s">
        <v>408</v>
      </c>
      <c r="AZ88" s="147" t="s">
        <v>418</v>
      </c>
      <c r="BA88" s="143" t="s">
        <v>431</v>
      </c>
      <c r="BC88" s="144">
        <f>AW88+AX88</f>
        <v>0</v>
      </c>
      <c r="BD88" s="144">
        <f>K88/(100-BE88)*100</f>
        <v>0</v>
      </c>
      <c r="BE88" s="144">
        <v>0</v>
      </c>
      <c r="BF88" s="144">
        <f>88</f>
        <v>88</v>
      </c>
      <c r="BH88" s="132">
        <f>J88*AO88</f>
        <v>0</v>
      </c>
      <c r="BI88" s="132">
        <f>J88*AP88</f>
        <v>0</v>
      </c>
      <c r="BJ88" s="132">
        <f>J88*K88</f>
        <v>0</v>
      </c>
      <c r="BK88" s="132" t="s">
        <v>437</v>
      </c>
      <c r="BL88" s="144">
        <v>711</v>
      </c>
    </row>
    <row r="89" spans="1:13" ht="25.5" customHeight="1">
      <c r="A89" s="55"/>
      <c r="B89" s="107" t="s">
        <v>186</v>
      </c>
      <c r="C89" s="114" t="s">
        <v>325</v>
      </c>
      <c r="D89" s="122"/>
      <c r="E89" s="122"/>
      <c r="F89" s="122"/>
      <c r="G89" s="122"/>
      <c r="H89" s="122"/>
      <c r="I89" s="122"/>
      <c r="J89" s="122"/>
      <c r="K89" s="122"/>
      <c r="L89" s="142"/>
      <c r="M89" s="55"/>
    </row>
    <row r="90" spans="1:64" ht="12" customHeight="1">
      <c r="A90" s="181" t="s">
        <v>109</v>
      </c>
      <c r="B90" s="181" t="s">
        <v>222</v>
      </c>
      <c r="C90" s="178" t="s">
        <v>326</v>
      </c>
      <c r="D90" s="120"/>
      <c r="E90" s="120"/>
      <c r="F90" s="120"/>
      <c r="G90" s="120"/>
      <c r="H90" s="183"/>
      <c r="I90" s="181" t="s">
        <v>384</v>
      </c>
      <c r="J90" s="186">
        <v>2</v>
      </c>
      <c r="K90" s="186">
        <v>0</v>
      </c>
      <c r="L90" s="185">
        <f>J90*K90</f>
        <v>0</v>
      </c>
      <c r="M90" s="166"/>
      <c r="Z90" s="144">
        <f>IF(AQ90="5",BJ90,0)</f>
        <v>0</v>
      </c>
      <c r="AB90" s="144">
        <f>IF(AQ90="1",BH90,0)</f>
        <v>0</v>
      </c>
      <c r="AC90" s="144">
        <f>IF(AQ90="1",BI90,0)</f>
        <v>0</v>
      </c>
      <c r="AD90" s="144">
        <f>IF(AQ90="7",BH90,0)</f>
        <v>0</v>
      </c>
      <c r="AE90" s="144">
        <f>IF(AQ90="7",BI90,0)</f>
        <v>0</v>
      </c>
      <c r="AF90" s="144">
        <f>IF(AQ90="2",BH90,0)</f>
        <v>0</v>
      </c>
      <c r="AG90" s="144">
        <f>IF(AQ90="2",BI90,0)</f>
        <v>0</v>
      </c>
      <c r="AH90" s="144">
        <f>IF(AQ90="0",BJ90,0)</f>
        <v>0</v>
      </c>
      <c r="AI90" s="143" t="s">
        <v>401</v>
      </c>
      <c r="AJ90" s="132">
        <f>IF(AN90=0,L90,0)</f>
        <v>0</v>
      </c>
      <c r="AK90" s="132">
        <f>IF(AN90=15,L90,0)</f>
        <v>0</v>
      </c>
      <c r="AL90" s="132">
        <f>IF(AN90=21,L90,0)</f>
        <v>0</v>
      </c>
      <c r="AN90" s="144">
        <v>21</v>
      </c>
      <c r="AO90" s="144">
        <f>K90*0</f>
        <v>0</v>
      </c>
      <c r="AP90" s="144">
        <f>K90*(1-0)</f>
        <v>0</v>
      </c>
      <c r="AQ90" s="145" t="s">
        <v>77</v>
      </c>
      <c r="AV90" s="144">
        <f>AW90+AX90</f>
        <v>0</v>
      </c>
      <c r="AW90" s="144">
        <f>J90*AO90</f>
        <v>0</v>
      </c>
      <c r="AX90" s="144">
        <f>J90*AP90</f>
        <v>0</v>
      </c>
      <c r="AY90" s="147" t="s">
        <v>408</v>
      </c>
      <c r="AZ90" s="147" t="s">
        <v>418</v>
      </c>
      <c r="BA90" s="143" t="s">
        <v>431</v>
      </c>
      <c r="BC90" s="144">
        <f>AW90+AX90</f>
        <v>0</v>
      </c>
      <c r="BD90" s="144">
        <f>K90/(100-BE90)*100</f>
        <v>0</v>
      </c>
      <c r="BE90" s="144">
        <v>0</v>
      </c>
      <c r="BF90" s="144">
        <f>90</f>
        <v>90</v>
      </c>
      <c r="BH90" s="132">
        <f>J90*AO90</f>
        <v>0</v>
      </c>
      <c r="BI90" s="132">
        <f>J90*AP90</f>
        <v>0</v>
      </c>
      <c r="BJ90" s="132">
        <f>J90*K90</f>
        <v>0</v>
      </c>
      <c r="BK90" s="132" t="s">
        <v>437</v>
      </c>
      <c r="BL90" s="144">
        <v>711</v>
      </c>
    </row>
    <row r="91" spans="1:47" ht="12" customHeight="1">
      <c r="A91" s="95"/>
      <c r="B91" s="105" t="s">
        <v>134</v>
      </c>
      <c r="C91" s="105" t="s">
        <v>327</v>
      </c>
      <c r="D91" s="119"/>
      <c r="E91" s="119"/>
      <c r="F91" s="119"/>
      <c r="G91" s="119"/>
      <c r="H91" s="119"/>
      <c r="I91" s="129" t="s">
        <v>72</v>
      </c>
      <c r="J91" s="129" t="s">
        <v>72</v>
      </c>
      <c r="K91" s="129" t="s">
        <v>72</v>
      </c>
      <c r="L91" s="150">
        <f>SUM(L92:L105)</f>
        <v>0</v>
      </c>
      <c r="M91" s="55"/>
      <c r="AI91" s="143" t="s">
        <v>401</v>
      </c>
      <c r="AS91" s="156">
        <f>SUM(AJ92:AJ105)</f>
        <v>0</v>
      </c>
      <c r="AT91" s="156">
        <f>SUM(AK92:AK105)</f>
        <v>0</v>
      </c>
      <c r="AU91" s="156">
        <f>SUM(AL92:AL105)</f>
        <v>0</v>
      </c>
    </row>
    <row r="92" spans="1:64" ht="12" customHeight="1">
      <c r="A92" s="96" t="s">
        <v>110</v>
      </c>
      <c r="B92" s="106" t="s">
        <v>223</v>
      </c>
      <c r="C92" s="106" t="s">
        <v>328</v>
      </c>
      <c r="D92" s="120"/>
      <c r="E92" s="120"/>
      <c r="F92" s="120"/>
      <c r="G92" s="120"/>
      <c r="H92" s="120"/>
      <c r="I92" s="106" t="s">
        <v>379</v>
      </c>
      <c r="J92" s="132">
        <v>30.6</v>
      </c>
      <c r="K92" s="132">
        <v>0</v>
      </c>
      <c r="L92" s="151">
        <f>J92*K92</f>
        <v>0</v>
      </c>
      <c r="M92" s="55"/>
      <c r="Z92" s="144">
        <f>IF(AQ92="5",BJ92,0)</f>
        <v>0</v>
      </c>
      <c r="AB92" s="144">
        <f>IF(AQ92="1",BH92,0)</f>
        <v>0</v>
      </c>
      <c r="AC92" s="144">
        <f>IF(AQ92="1",BI92,0)</f>
        <v>0</v>
      </c>
      <c r="AD92" s="144">
        <f>IF(AQ92="7",BH92,0)</f>
        <v>0</v>
      </c>
      <c r="AE92" s="144">
        <f>IF(AQ92="7",BI92,0)</f>
        <v>0</v>
      </c>
      <c r="AF92" s="144">
        <f>IF(AQ92="2",BH92,0)</f>
        <v>0</v>
      </c>
      <c r="AG92" s="144">
        <f>IF(AQ92="2",BI92,0)</f>
        <v>0</v>
      </c>
      <c r="AH92" s="144">
        <f>IF(AQ92="0",BJ92,0)</f>
        <v>0</v>
      </c>
      <c r="AI92" s="143" t="s">
        <v>401</v>
      </c>
      <c r="AJ92" s="132">
        <f>IF(AN92=0,L92,0)</f>
        <v>0</v>
      </c>
      <c r="AK92" s="132">
        <f>IF(AN92=15,L92,0)</f>
        <v>0</v>
      </c>
      <c r="AL92" s="132">
        <f>IF(AN92=21,L92,0)</f>
        <v>0</v>
      </c>
      <c r="AN92" s="144">
        <v>21</v>
      </c>
      <c r="AO92" s="144">
        <f>K92*0.689916666666667</f>
        <v>0</v>
      </c>
      <c r="AP92" s="144">
        <f>K92*(1-0.689916666666667)</f>
        <v>0</v>
      </c>
      <c r="AQ92" s="145" t="s">
        <v>73</v>
      </c>
      <c r="AV92" s="144">
        <f>AW92+AX92</f>
        <v>0</v>
      </c>
      <c r="AW92" s="144">
        <f>J92*AO92</f>
        <v>0</v>
      </c>
      <c r="AX92" s="144">
        <f>J92*AP92</f>
        <v>0</v>
      </c>
      <c r="AY92" s="147" t="s">
        <v>409</v>
      </c>
      <c r="AZ92" s="147" t="s">
        <v>419</v>
      </c>
      <c r="BA92" s="143" t="s">
        <v>431</v>
      </c>
      <c r="BC92" s="144">
        <f>AW92+AX92</f>
        <v>0</v>
      </c>
      <c r="BD92" s="144">
        <f>K92/(100-BE92)*100</f>
        <v>0</v>
      </c>
      <c r="BE92" s="144">
        <v>0</v>
      </c>
      <c r="BF92" s="144">
        <f>92</f>
        <v>92</v>
      </c>
      <c r="BH92" s="132">
        <f>J92*AO92</f>
        <v>0</v>
      </c>
      <c r="BI92" s="132">
        <f>J92*AP92</f>
        <v>0</v>
      </c>
      <c r="BJ92" s="132">
        <f>J92*K92</f>
        <v>0</v>
      </c>
      <c r="BK92" s="132" t="s">
        <v>437</v>
      </c>
      <c r="BL92" s="144">
        <v>62</v>
      </c>
    </row>
    <row r="93" spans="1:13" ht="25.5" customHeight="1">
      <c r="A93" s="55"/>
      <c r="B93" s="107" t="s">
        <v>186</v>
      </c>
      <c r="C93" s="114" t="s">
        <v>329</v>
      </c>
      <c r="D93" s="122"/>
      <c r="E93" s="122"/>
      <c r="F93" s="122"/>
      <c r="G93" s="122"/>
      <c r="H93" s="122"/>
      <c r="I93" s="122"/>
      <c r="J93" s="122"/>
      <c r="K93" s="122"/>
      <c r="L93" s="142"/>
      <c r="M93" s="55"/>
    </row>
    <row r="94" spans="1:13" ht="12.75" customHeight="1">
      <c r="A94" s="55"/>
      <c r="B94" s="107" t="s">
        <v>184</v>
      </c>
      <c r="C94" s="113" t="s">
        <v>330</v>
      </c>
      <c r="D94" s="121"/>
      <c r="E94" s="121"/>
      <c r="F94" s="121"/>
      <c r="G94" s="121"/>
      <c r="H94" s="121"/>
      <c r="I94" s="121"/>
      <c r="J94" s="121"/>
      <c r="K94" s="121"/>
      <c r="L94" s="141"/>
      <c r="M94" s="55"/>
    </row>
    <row r="95" spans="1:64" ht="12" customHeight="1">
      <c r="A95" s="96" t="s">
        <v>111</v>
      </c>
      <c r="B95" s="106" t="s">
        <v>224</v>
      </c>
      <c r="C95" s="106" t="s">
        <v>331</v>
      </c>
      <c r="D95" s="120"/>
      <c r="E95" s="120"/>
      <c r="F95" s="120"/>
      <c r="G95" s="120"/>
      <c r="H95" s="120"/>
      <c r="I95" s="106" t="s">
        <v>379</v>
      </c>
      <c r="J95" s="132">
        <v>30.6</v>
      </c>
      <c r="K95" s="132">
        <v>0</v>
      </c>
      <c r="L95" s="151">
        <f>J95*K95</f>
        <v>0</v>
      </c>
      <c r="M95" s="55"/>
      <c r="Z95" s="144">
        <f>IF(AQ95="5",BJ95,0)</f>
        <v>0</v>
      </c>
      <c r="AB95" s="144">
        <f>IF(AQ95="1",BH95,0)</f>
        <v>0</v>
      </c>
      <c r="AC95" s="144">
        <f>IF(AQ95="1",BI95,0)</f>
        <v>0</v>
      </c>
      <c r="AD95" s="144">
        <f>IF(AQ95="7",BH95,0)</f>
        <v>0</v>
      </c>
      <c r="AE95" s="144">
        <f>IF(AQ95="7",BI95,0)</f>
        <v>0</v>
      </c>
      <c r="AF95" s="144">
        <f>IF(AQ95="2",BH95,0)</f>
        <v>0</v>
      </c>
      <c r="AG95" s="144">
        <f>IF(AQ95="2",BI95,0)</f>
        <v>0</v>
      </c>
      <c r="AH95" s="144">
        <f>IF(AQ95="0",BJ95,0)</f>
        <v>0</v>
      </c>
      <c r="AI95" s="143" t="s">
        <v>401</v>
      </c>
      <c r="AJ95" s="132">
        <f>IF(AN95=0,L95,0)</f>
        <v>0</v>
      </c>
      <c r="AK95" s="132">
        <f>IF(AN95=15,L95,0)</f>
        <v>0</v>
      </c>
      <c r="AL95" s="132">
        <f>IF(AN95=21,L95,0)</f>
        <v>0</v>
      </c>
      <c r="AN95" s="144">
        <v>21</v>
      </c>
      <c r="AO95" s="144">
        <f>K95*0.710259259259259</f>
        <v>0</v>
      </c>
      <c r="AP95" s="144">
        <f>K95*(1-0.710259259259259)</f>
        <v>0</v>
      </c>
      <c r="AQ95" s="145" t="s">
        <v>73</v>
      </c>
      <c r="AV95" s="144">
        <f>AW95+AX95</f>
        <v>0</v>
      </c>
      <c r="AW95" s="144">
        <f>J95*AO95</f>
        <v>0</v>
      </c>
      <c r="AX95" s="144">
        <f>J95*AP95</f>
        <v>0</v>
      </c>
      <c r="AY95" s="147" t="s">
        <v>409</v>
      </c>
      <c r="AZ95" s="147" t="s">
        <v>419</v>
      </c>
      <c r="BA95" s="143" t="s">
        <v>431</v>
      </c>
      <c r="BC95" s="144">
        <f>AW95+AX95</f>
        <v>0</v>
      </c>
      <c r="BD95" s="144">
        <f>K95/(100-BE95)*100</f>
        <v>0</v>
      </c>
      <c r="BE95" s="144">
        <v>0</v>
      </c>
      <c r="BF95" s="144">
        <f>95</f>
        <v>95</v>
      </c>
      <c r="BH95" s="132">
        <f>J95*AO95</f>
        <v>0</v>
      </c>
      <c r="BI95" s="132">
        <f>J95*AP95</f>
        <v>0</v>
      </c>
      <c r="BJ95" s="132">
        <f>J95*K95</f>
        <v>0</v>
      </c>
      <c r="BK95" s="132" t="s">
        <v>437</v>
      </c>
      <c r="BL95" s="144">
        <v>62</v>
      </c>
    </row>
    <row r="96" spans="1:13" ht="25.5" customHeight="1">
      <c r="A96" s="55"/>
      <c r="B96" s="107" t="s">
        <v>186</v>
      </c>
      <c r="C96" s="114" t="s">
        <v>332</v>
      </c>
      <c r="D96" s="122"/>
      <c r="E96" s="122"/>
      <c r="F96" s="122"/>
      <c r="G96" s="122"/>
      <c r="H96" s="122"/>
      <c r="I96" s="122"/>
      <c r="J96" s="122"/>
      <c r="K96" s="122"/>
      <c r="L96" s="142"/>
      <c r="M96" s="55"/>
    </row>
    <row r="97" spans="1:13" ht="12.75" customHeight="1">
      <c r="A97" s="55"/>
      <c r="B97" s="107" t="s">
        <v>184</v>
      </c>
      <c r="C97" s="113" t="s">
        <v>333</v>
      </c>
      <c r="D97" s="121"/>
      <c r="E97" s="121"/>
      <c r="F97" s="121"/>
      <c r="G97" s="121"/>
      <c r="H97" s="121"/>
      <c r="I97" s="121"/>
      <c r="J97" s="121"/>
      <c r="K97" s="121"/>
      <c r="L97" s="141"/>
      <c r="M97" s="55"/>
    </row>
    <row r="98" spans="1:64" ht="12" customHeight="1">
      <c r="A98" s="96" t="s">
        <v>112</v>
      </c>
      <c r="B98" s="106" t="s">
        <v>225</v>
      </c>
      <c r="C98" s="106" t="s">
        <v>334</v>
      </c>
      <c r="D98" s="120"/>
      <c r="E98" s="120"/>
      <c r="F98" s="120"/>
      <c r="G98" s="120"/>
      <c r="H98" s="120"/>
      <c r="I98" s="106" t="s">
        <v>379</v>
      </c>
      <c r="J98" s="132">
        <v>30.6</v>
      </c>
      <c r="K98" s="132">
        <v>0</v>
      </c>
      <c r="L98" s="151">
        <f>J98*K98</f>
        <v>0</v>
      </c>
      <c r="M98" s="55"/>
      <c r="Z98" s="144">
        <f>IF(AQ98="5",BJ98,0)</f>
        <v>0</v>
      </c>
      <c r="AB98" s="144">
        <f>IF(AQ98="1",BH98,0)</f>
        <v>0</v>
      </c>
      <c r="AC98" s="144">
        <f>IF(AQ98="1",BI98,0)</f>
        <v>0</v>
      </c>
      <c r="AD98" s="144">
        <f>IF(AQ98="7",BH98,0)</f>
        <v>0</v>
      </c>
      <c r="AE98" s="144">
        <f>IF(AQ98="7",BI98,0)</f>
        <v>0</v>
      </c>
      <c r="AF98" s="144">
        <f>IF(AQ98="2",BH98,0)</f>
        <v>0</v>
      </c>
      <c r="AG98" s="144">
        <f>IF(AQ98="2",BI98,0)</f>
        <v>0</v>
      </c>
      <c r="AH98" s="144">
        <f>IF(AQ98="0",BJ98,0)</f>
        <v>0</v>
      </c>
      <c r="AI98" s="143" t="s">
        <v>401</v>
      </c>
      <c r="AJ98" s="132">
        <f>IF(AN98=0,L98,0)</f>
        <v>0</v>
      </c>
      <c r="AK98" s="132">
        <f>IF(AN98=15,L98,0)</f>
        <v>0</v>
      </c>
      <c r="AL98" s="132">
        <f>IF(AN98=21,L98,0)</f>
        <v>0</v>
      </c>
      <c r="AN98" s="144">
        <v>21</v>
      </c>
      <c r="AO98" s="144">
        <f>K98*0.215230769230769</f>
        <v>0</v>
      </c>
      <c r="AP98" s="144">
        <f>K98*(1-0.215230769230769)</f>
        <v>0</v>
      </c>
      <c r="AQ98" s="145" t="s">
        <v>73</v>
      </c>
      <c r="AV98" s="144">
        <f>AW98+AX98</f>
        <v>0</v>
      </c>
      <c r="AW98" s="144">
        <f>J98*AO98</f>
        <v>0</v>
      </c>
      <c r="AX98" s="144">
        <f>J98*AP98</f>
        <v>0</v>
      </c>
      <c r="AY98" s="147" t="s">
        <v>409</v>
      </c>
      <c r="AZ98" s="147" t="s">
        <v>419</v>
      </c>
      <c r="BA98" s="143" t="s">
        <v>431</v>
      </c>
      <c r="BC98" s="144">
        <f>AW98+AX98</f>
        <v>0</v>
      </c>
      <c r="BD98" s="144">
        <f>K98/(100-BE98)*100</f>
        <v>0</v>
      </c>
      <c r="BE98" s="144">
        <v>0</v>
      </c>
      <c r="BF98" s="144">
        <f>98</f>
        <v>98</v>
      </c>
      <c r="BH98" s="132">
        <f>J98*AO98</f>
        <v>0</v>
      </c>
      <c r="BI98" s="132">
        <f>J98*AP98</f>
        <v>0</v>
      </c>
      <c r="BJ98" s="132">
        <f>J98*K98</f>
        <v>0</v>
      </c>
      <c r="BK98" s="132" t="s">
        <v>437</v>
      </c>
      <c r="BL98" s="144">
        <v>62</v>
      </c>
    </row>
    <row r="99" spans="1:13" ht="12.75" customHeight="1">
      <c r="A99" s="55"/>
      <c r="B99" s="107" t="s">
        <v>186</v>
      </c>
      <c r="C99" s="114" t="s">
        <v>335</v>
      </c>
      <c r="D99" s="122"/>
      <c r="E99" s="122"/>
      <c r="F99" s="122"/>
      <c r="G99" s="122"/>
      <c r="H99" s="122"/>
      <c r="I99" s="122"/>
      <c r="J99" s="122"/>
      <c r="K99" s="122"/>
      <c r="L99" s="142"/>
      <c r="M99" s="55"/>
    </row>
    <row r="100" spans="1:64" ht="12" customHeight="1">
      <c r="A100" s="96" t="s">
        <v>113</v>
      </c>
      <c r="B100" s="106" t="s">
        <v>226</v>
      </c>
      <c r="C100" s="106" t="s">
        <v>336</v>
      </c>
      <c r="D100" s="120"/>
      <c r="E100" s="120"/>
      <c r="F100" s="120"/>
      <c r="G100" s="120"/>
      <c r="H100" s="120"/>
      <c r="I100" s="106" t="s">
        <v>379</v>
      </c>
      <c r="J100" s="132">
        <v>148</v>
      </c>
      <c r="K100" s="132">
        <v>0</v>
      </c>
      <c r="L100" s="151">
        <f>J100*K100</f>
        <v>0</v>
      </c>
      <c r="M100" s="55"/>
      <c r="Z100" s="144">
        <f>IF(AQ100="5",BJ100,0)</f>
        <v>0</v>
      </c>
      <c r="AB100" s="144">
        <f>IF(AQ100="1",BH100,0)</f>
        <v>0</v>
      </c>
      <c r="AC100" s="144">
        <f>IF(AQ100="1",BI100,0)</f>
        <v>0</v>
      </c>
      <c r="AD100" s="144">
        <f>IF(AQ100="7",BH100,0)</f>
        <v>0</v>
      </c>
      <c r="AE100" s="144">
        <f>IF(AQ100="7",BI100,0)</f>
        <v>0</v>
      </c>
      <c r="AF100" s="144">
        <f>IF(AQ100="2",BH100,0)</f>
        <v>0</v>
      </c>
      <c r="AG100" s="144">
        <f>IF(AQ100="2",BI100,0)</f>
        <v>0</v>
      </c>
      <c r="AH100" s="144">
        <f>IF(AQ100="0",BJ100,0)</f>
        <v>0</v>
      </c>
      <c r="AI100" s="143" t="s">
        <v>401</v>
      </c>
      <c r="AJ100" s="132">
        <f>IF(AN100=0,L100,0)</f>
        <v>0</v>
      </c>
      <c r="AK100" s="132">
        <f>IF(AN100=15,L100,0)</f>
        <v>0</v>
      </c>
      <c r="AL100" s="132">
        <f>IF(AN100=21,L100,0)</f>
        <v>0</v>
      </c>
      <c r="AN100" s="144">
        <v>21</v>
      </c>
      <c r="AO100" s="144">
        <f>K100*0.775860465116279</f>
        <v>0</v>
      </c>
      <c r="AP100" s="144">
        <f>K100*(1-0.775860465116279)</f>
        <v>0</v>
      </c>
      <c r="AQ100" s="145" t="s">
        <v>73</v>
      </c>
      <c r="AV100" s="144">
        <f>AW100+AX100</f>
        <v>0</v>
      </c>
      <c r="AW100" s="144">
        <f>J100*AO100</f>
        <v>0</v>
      </c>
      <c r="AX100" s="144">
        <f>J100*AP100</f>
        <v>0</v>
      </c>
      <c r="AY100" s="147" t="s">
        <v>409</v>
      </c>
      <c r="AZ100" s="147" t="s">
        <v>419</v>
      </c>
      <c r="BA100" s="143" t="s">
        <v>431</v>
      </c>
      <c r="BC100" s="144">
        <f>AW100+AX100</f>
        <v>0</v>
      </c>
      <c r="BD100" s="144">
        <f>K100/(100-BE100)*100</f>
        <v>0</v>
      </c>
      <c r="BE100" s="144">
        <v>0</v>
      </c>
      <c r="BF100" s="144">
        <f>100</f>
        <v>100</v>
      </c>
      <c r="BH100" s="132">
        <f>J100*AO100</f>
        <v>0</v>
      </c>
      <c r="BI100" s="132">
        <f>J100*AP100</f>
        <v>0</v>
      </c>
      <c r="BJ100" s="132">
        <f>J100*K100</f>
        <v>0</v>
      </c>
      <c r="BK100" s="132" t="s">
        <v>437</v>
      </c>
      <c r="BL100" s="144">
        <v>62</v>
      </c>
    </row>
    <row r="101" spans="1:13" ht="38.25" customHeight="1">
      <c r="A101" s="55"/>
      <c r="B101" s="107" t="s">
        <v>186</v>
      </c>
      <c r="C101" s="114" t="s">
        <v>337</v>
      </c>
      <c r="D101" s="122"/>
      <c r="E101" s="122"/>
      <c r="F101" s="122"/>
      <c r="G101" s="122"/>
      <c r="H101" s="122"/>
      <c r="I101" s="122"/>
      <c r="J101" s="122"/>
      <c r="K101" s="122"/>
      <c r="L101" s="142"/>
      <c r="M101" s="55"/>
    </row>
    <row r="102" spans="1:64" ht="12" customHeight="1">
      <c r="A102" s="96" t="s">
        <v>114</v>
      </c>
      <c r="B102" s="106" t="s">
        <v>227</v>
      </c>
      <c r="C102" s="106" t="s">
        <v>338</v>
      </c>
      <c r="D102" s="120"/>
      <c r="E102" s="120"/>
      <c r="F102" s="120"/>
      <c r="G102" s="120"/>
      <c r="H102" s="120"/>
      <c r="I102" s="106" t="s">
        <v>379</v>
      </c>
      <c r="J102" s="132">
        <v>16.1</v>
      </c>
      <c r="K102" s="132">
        <v>0</v>
      </c>
      <c r="L102" s="151">
        <f>J102*K102</f>
        <v>0</v>
      </c>
      <c r="M102" s="55"/>
      <c r="Z102" s="144">
        <f>IF(AQ102="5",BJ102,0)</f>
        <v>0</v>
      </c>
      <c r="AB102" s="144">
        <f>IF(AQ102="1",BH102,0)</f>
        <v>0</v>
      </c>
      <c r="AC102" s="144">
        <f>IF(AQ102="1",BI102,0)</f>
        <v>0</v>
      </c>
      <c r="AD102" s="144">
        <f>IF(AQ102="7",BH102,0)</f>
        <v>0</v>
      </c>
      <c r="AE102" s="144">
        <f>IF(AQ102="7",BI102,0)</f>
        <v>0</v>
      </c>
      <c r="AF102" s="144">
        <f>IF(AQ102="2",BH102,0)</f>
        <v>0</v>
      </c>
      <c r="AG102" s="144">
        <f>IF(AQ102="2",BI102,0)</f>
        <v>0</v>
      </c>
      <c r="AH102" s="144">
        <f>IF(AQ102="0",BJ102,0)</f>
        <v>0</v>
      </c>
      <c r="AI102" s="143" t="s">
        <v>401</v>
      </c>
      <c r="AJ102" s="132">
        <f>IF(AN102=0,L102,0)</f>
        <v>0</v>
      </c>
      <c r="AK102" s="132">
        <f>IF(AN102=15,L102,0)</f>
        <v>0</v>
      </c>
      <c r="AL102" s="132">
        <f>IF(AN102=21,L102,0)</f>
        <v>0</v>
      </c>
      <c r="AN102" s="144">
        <v>21</v>
      </c>
      <c r="AO102" s="144">
        <f>K102*0.553387096774194</f>
        <v>0</v>
      </c>
      <c r="AP102" s="144">
        <f>K102*(1-0.553387096774194)</f>
        <v>0</v>
      </c>
      <c r="AQ102" s="145" t="s">
        <v>73</v>
      </c>
      <c r="AV102" s="144">
        <f>AW102+AX102</f>
        <v>0</v>
      </c>
      <c r="AW102" s="144">
        <f>J102*AO102</f>
        <v>0</v>
      </c>
      <c r="AX102" s="144">
        <f>J102*AP102</f>
        <v>0</v>
      </c>
      <c r="AY102" s="147" t="s">
        <v>409</v>
      </c>
      <c r="AZ102" s="147" t="s">
        <v>419</v>
      </c>
      <c r="BA102" s="143" t="s">
        <v>431</v>
      </c>
      <c r="BC102" s="144">
        <f>AW102+AX102</f>
        <v>0</v>
      </c>
      <c r="BD102" s="144">
        <f>K102/(100-BE102)*100</f>
        <v>0</v>
      </c>
      <c r="BE102" s="144">
        <v>0</v>
      </c>
      <c r="BF102" s="144">
        <f>102</f>
        <v>102</v>
      </c>
      <c r="BH102" s="132">
        <f>J102*AO102</f>
        <v>0</v>
      </c>
      <c r="BI102" s="132">
        <f>J102*AP102</f>
        <v>0</v>
      </c>
      <c r="BJ102" s="132">
        <f>J102*K102</f>
        <v>0</v>
      </c>
      <c r="BK102" s="132" t="s">
        <v>437</v>
      </c>
      <c r="BL102" s="144">
        <v>62</v>
      </c>
    </row>
    <row r="103" spans="1:13" ht="25.5" customHeight="1">
      <c r="A103" s="55"/>
      <c r="B103" s="107" t="s">
        <v>186</v>
      </c>
      <c r="C103" s="114" t="s">
        <v>339</v>
      </c>
      <c r="D103" s="122"/>
      <c r="E103" s="122"/>
      <c r="F103" s="122"/>
      <c r="G103" s="122"/>
      <c r="H103" s="122"/>
      <c r="I103" s="122"/>
      <c r="J103" s="122"/>
      <c r="K103" s="122"/>
      <c r="L103" s="142"/>
      <c r="M103" s="55"/>
    </row>
    <row r="104" spans="1:13" ht="25.5" customHeight="1">
      <c r="A104" s="55"/>
      <c r="B104" s="107" t="s">
        <v>184</v>
      </c>
      <c r="C104" s="113" t="s">
        <v>340</v>
      </c>
      <c r="D104" s="121"/>
      <c r="E104" s="121"/>
      <c r="F104" s="121"/>
      <c r="G104" s="121"/>
      <c r="H104" s="121"/>
      <c r="I104" s="121"/>
      <c r="J104" s="121"/>
      <c r="K104" s="121"/>
      <c r="L104" s="141"/>
      <c r="M104" s="55"/>
    </row>
    <row r="105" spans="1:64" ht="12" customHeight="1">
      <c r="A105" s="96" t="s">
        <v>115</v>
      </c>
      <c r="B105" s="106" t="s">
        <v>228</v>
      </c>
      <c r="C105" s="106" t="s">
        <v>341</v>
      </c>
      <c r="D105" s="120"/>
      <c r="E105" s="120"/>
      <c r="F105" s="120"/>
      <c r="G105" s="120"/>
      <c r="H105" s="120"/>
      <c r="I105" s="106" t="s">
        <v>379</v>
      </c>
      <c r="J105" s="132">
        <v>12.27</v>
      </c>
      <c r="K105" s="132">
        <v>0</v>
      </c>
      <c r="L105" s="151">
        <f>J105*K105</f>
        <v>0</v>
      </c>
      <c r="M105" s="55"/>
      <c r="Z105" s="144">
        <f>IF(AQ105="5",BJ105,0)</f>
        <v>0</v>
      </c>
      <c r="AB105" s="144">
        <f>IF(AQ105="1",BH105,0)</f>
        <v>0</v>
      </c>
      <c r="AC105" s="144">
        <f>IF(AQ105="1",BI105,0)</f>
        <v>0</v>
      </c>
      <c r="AD105" s="144">
        <f>IF(AQ105="7",BH105,0)</f>
        <v>0</v>
      </c>
      <c r="AE105" s="144">
        <f>IF(AQ105="7",BI105,0)</f>
        <v>0</v>
      </c>
      <c r="AF105" s="144">
        <f>IF(AQ105="2",BH105,0)</f>
        <v>0</v>
      </c>
      <c r="AG105" s="144">
        <f>IF(AQ105="2",BI105,0)</f>
        <v>0</v>
      </c>
      <c r="AH105" s="144">
        <f>IF(AQ105="0",BJ105,0)</f>
        <v>0</v>
      </c>
      <c r="AI105" s="143" t="s">
        <v>401</v>
      </c>
      <c r="AJ105" s="132">
        <f>IF(AN105=0,L105,0)</f>
        <v>0</v>
      </c>
      <c r="AK105" s="132">
        <f>IF(AN105=15,L105,0)</f>
        <v>0</v>
      </c>
      <c r="AL105" s="132">
        <f>IF(AN105=21,L105,0)</f>
        <v>0</v>
      </c>
      <c r="AN105" s="144">
        <v>21</v>
      </c>
      <c r="AO105" s="144">
        <f>K105*0.287536373620207</f>
        <v>0</v>
      </c>
      <c r="AP105" s="144">
        <f>K105*(1-0.287536373620207)</f>
        <v>0</v>
      </c>
      <c r="AQ105" s="145" t="s">
        <v>73</v>
      </c>
      <c r="AV105" s="144">
        <f>AW105+AX105</f>
        <v>0</v>
      </c>
      <c r="AW105" s="144">
        <f>J105*AO105</f>
        <v>0</v>
      </c>
      <c r="AX105" s="144">
        <f>J105*AP105</f>
        <v>0</v>
      </c>
      <c r="AY105" s="147" t="s">
        <v>409</v>
      </c>
      <c r="AZ105" s="147" t="s">
        <v>419</v>
      </c>
      <c r="BA105" s="143" t="s">
        <v>431</v>
      </c>
      <c r="BC105" s="144">
        <f>AW105+AX105</f>
        <v>0</v>
      </c>
      <c r="BD105" s="144">
        <f>K105/(100-BE105)*100</f>
        <v>0</v>
      </c>
      <c r="BE105" s="144">
        <v>0</v>
      </c>
      <c r="BF105" s="144">
        <f>105</f>
        <v>105</v>
      </c>
      <c r="BH105" s="132">
        <f>J105*AO105</f>
        <v>0</v>
      </c>
      <c r="BI105" s="132">
        <f>J105*AP105</f>
        <v>0</v>
      </c>
      <c r="BJ105" s="132">
        <f>J105*K105</f>
        <v>0</v>
      </c>
      <c r="BK105" s="132" t="s">
        <v>437</v>
      </c>
      <c r="BL105" s="144">
        <v>62</v>
      </c>
    </row>
    <row r="106" spans="1:13" ht="12.75" customHeight="1">
      <c r="A106" s="55"/>
      <c r="B106" s="107" t="s">
        <v>186</v>
      </c>
      <c r="C106" s="114" t="s">
        <v>342</v>
      </c>
      <c r="D106" s="122"/>
      <c r="E106" s="122"/>
      <c r="F106" s="122"/>
      <c r="G106" s="122"/>
      <c r="H106" s="122"/>
      <c r="I106" s="122"/>
      <c r="J106" s="122"/>
      <c r="K106" s="122"/>
      <c r="L106" s="142"/>
      <c r="M106" s="55"/>
    </row>
    <row r="107" spans="1:13" ht="12.75" customHeight="1">
      <c r="A107" s="55"/>
      <c r="B107" s="107" t="s">
        <v>184</v>
      </c>
      <c r="C107" s="113" t="s">
        <v>343</v>
      </c>
      <c r="D107" s="121"/>
      <c r="E107" s="121"/>
      <c r="F107" s="121"/>
      <c r="G107" s="121"/>
      <c r="H107" s="121"/>
      <c r="I107" s="121"/>
      <c r="J107" s="121"/>
      <c r="K107" s="121"/>
      <c r="L107" s="141"/>
      <c r="M107" s="55"/>
    </row>
    <row r="108" spans="1:47" ht="12" customHeight="1">
      <c r="A108" s="171"/>
      <c r="B108" s="172" t="s">
        <v>155</v>
      </c>
      <c r="C108" s="169" t="s">
        <v>344</v>
      </c>
      <c r="D108" s="119"/>
      <c r="E108" s="119"/>
      <c r="F108" s="119"/>
      <c r="G108" s="119"/>
      <c r="H108" s="174"/>
      <c r="I108" s="171" t="s">
        <v>72</v>
      </c>
      <c r="J108" s="171" t="s">
        <v>72</v>
      </c>
      <c r="K108" s="171" t="s">
        <v>72</v>
      </c>
      <c r="L108" s="176">
        <f>SUM(L109:L112)</f>
        <v>0</v>
      </c>
      <c r="M108" s="166"/>
      <c r="AI108" s="143" t="s">
        <v>401</v>
      </c>
      <c r="AS108" s="156">
        <f>SUM(AJ109:AJ112)</f>
        <v>0</v>
      </c>
      <c r="AT108" s="156">
        <f>SUM(AK109:AK112)</f>
        <v>0</v>
      </c>
      <c r="AU108" s="156">
        <f>SUM(AL109:AL112)</f>
        <v>0</v>
      </c>
    </row>
    <row r="109" spans="1:64" ht="12" customHeight="1">
      <c r="A109" s="96" t="s">
        <v>116</v>
      </c>
      <c r="B109" s="106" t="s">
        <v>229</v>
      </c>
      <c r="C109" s="106" t="s">
        <v>345</v>
      </c>
      <c r="D109" s="120"/>
      <c r="E109" s="120"/>
      <c r="F109" s="120"/>
      <c r="G109" s="120"/>
      <c r="H109" s="120"/>
      <c r="I109" s="106" t="s">
        <v>385</v>
      </c>
      <c r="J109" s="132">
        <v>1</v>
      </c>
      <c r="K109" s="132">
        <v>0</v>
      </c>
      <c r="L109" s="151">
        <f>J109*K109</f>
        <v>0</v>
      </c>
      <c r="M109" s="55"/>
      <c r="Z109" s="144">
        <f>IF(AQ109="5",BJ109,0)</f>
        <v>0</v>
      </c>
      <c r="AB109" s="144">
        <f>IF(AQ109="1",BH109,0)</f>
        <v>0</v>
      </c>
      <c r="AC109" s="144">
        <f>IF(AQ109="1",BI109,0)</f>
        <v>0</v>
      </c>
      <c r="AD109" s="144">
        <f>IF(AQ109="7",BH109,0)</f>
        <v>0</v>
      </c>
      <c r="AE109" s="144">
        <f>IF(AQ109="7",BI109,0)</f>
        <v>0</v>
      </c>
      <c r="AF109" s="144">
        <f>IF(AQ109="2",BH109,0)</f>
        <v>0</v>
      </c>
      <c r="AG109" s="144">
        <f>IF(AQ109="2",BI109,0)</f>
        <v>0</v>
      </c>
      <c r="AH109" s="144">
        <f>IF(AQ109="0",BJ109,0)</f>
        <v>0</v>
      </c>
      <c r="AI109" s="143" t="s">
        <v>401</v>
      </c>
      <c r="AJ109" s="132">
        <f>IF(AN109=0,L109,0)</f>
        <v>0</v>
      </c>
      <c r="AK109" s="132">
        <f>IF(AN109=15,L109,0)</f>
        <v>0</v>
      </c>
      <c r="AL109" s="132">
        <f>IF(AN109=21,L109,0)</f>
        <v>0</v>
      </c>
      <c r="AN109" s="144">
        <v>21</v>
      </c>
      <c r="AO109" s="144">
        <f>K109*0</f>
        <v>0</v>
      </c>
      <c r="AP109" s="144">
        <f>K109*(1-0)</f>
        <v>0</v>
      </c>
      <c r="AQ109" s="145" t="s">
        <v>73</v>
      </c>
      <c r="AV109" s="144">
        <f>AW109+AX109</f>
        <v>0</v>
      </c>
      <c r="AW109" s="144">
        <f>J109*AO109</f>
        <v>0</v>
      </c>
      <c r="AX109" s="144">
        <f>J109*AP109</f>
        <v>0</v>
      </c>
      <c r="AY109" s="147" t="s">
        <v>410</v>
      </c>
      <c r="AZ109" s="147" t="s">
        <v>420</v>
      </c>
      <c r="BA109" s="143" t="s">
        <v>431</v>
      </c>
      <c r="BC109" s="144">
        <f>AW109+AX109</f>
        <v>0</v>
      </c>
      <c r="BD109" s="144">
        <f>K109/(100-BE109)*100</f>
        <v>0</v>
      </c>
      <c r="BE109" s="144">
        <v>0</v>
      </c>
      <c r="BF109" s="144">
        <f>109</f>
        <v>109</v>
      </c>
      <c r="BH109" s="132">
        <f>J109*AO109</f>
        <v>0</v>
      </c>
      <c r="BI109" s="132">
        <f>J109*AP109</f>
        <v>0</v>
      </c>
      <c r="BJ109" s="132">
        <f>J109*K109</f>
        <v>0</v>
      </c>
      <c r="BK109" s="132" t="s">
        <v>437</v>
      </c>
      <c r="BL109" s="144">
        <v>83</v>
      </c>
    </row>
    <row r="110" spans="1:64" ht="12" customHeight="1">
      <c r="A110" s="181" t="s">
        <v>117</v>
      </c>
      <c r="B110" s="181" t="s">
        <v>230</v>
      </c>
      <c r="C110" s="178" t="s">
        <v>346</v>
      </c>
      <c r="D110" s="120"/>
      <c r="E110" s="120"/>
      <c r="F110" s="120"/>
      <c r="G110" s="120"/>
      <c r="H110" s="183"/>
      <c r="I110" s="181" t="s">
        <v>382</v>
      </c>
      <c r="J110" s="186">
        <v>1</v>
      </c>
      <c r="K110" s="186">
        <v>0</v>
      </c>
      <c r="L110" s="185">
        <f>J110*K110</f>
        <v>0</v>
      </c>
      <c r="M110" s="166"/>
      <c r="Z110" s="144">
        <f>IF(AQ110="5",BJ110,0)</f>
        <v>0</v>
      </c>
      <c r="AB110" s="144">
        <f>IF(AQ110="1",BH110,0)</f>
        <v>0</v>
      </c>
      <c r="AC110" s="144">
        <f>IF(AQ110="1",BI110,0)</f>
        <v>0</v>
      </c>
      <c r="AD110" s="144">
        <f>IF(AQ110="7",BH110,0)</f>
        <v>0</v>
      </c>
      <c r="AE110" s="144">
        <f>IF(AQ110="7",BI110,0)</f>
        <v>0</v>
      </c>
      <c r="AF110" s="144">
        <f>IF(AQ110="2",BH110,0)</f>
        <v>0</v>
      </c>
      <c r="AG110" s="144">
        <f>IF(AQ110="2",BI110,0)</f>
        <v>0</v>
      </c>
      <c r="AH110" s="144">
        <f>IF(AQ110="0",BJ110,0)</f>
        <v>0</v>
      </c>
      <c r="AI110" s="143" t="s">
        <v>401</v>
      </c>
      <c r="AJ110" s="132">
        <f>IF(AN110=0,L110,0)</f>
        <v>0</v>
      </c>
      <c r="AK110" s="132">
        <f>IF(AN110=15,L110,0)</f>
        <v>0</v>
      </c>
      <c r="AL110" s="132">
        <f>IF(AN110=21,L110,0)</f>
        <v>0</v>
      </c>
      <c r="AN110" s="144">
        <v>21</v>
      </c>
      <c r="AO110" s="144">
        <f>K110*0.898101258581236</f>
        <v>0</v>
      </c>
      <c r="AP110" s="144">
        <f>K110*(1-0.898101258581236)</f>
        <v>0</v>
      </c>
      <c r="AQ110" s="145" t="s">
        <v>73</v>
      </c>
      <c r="AV110" s="144">
        <f>AW110+AX110</f>
        <v>0</v>
      </c>
      <c r="AW110" s="144">
        <f>J110*AO110</f>
        <v>0</v>
      </c>
      <c r="AX110" s="144">
        <f>J110*AP110</f>
        <v>0</v>
      </c>
      <c r="AY110" s="147" t="s">
        <v>410</v>
      </c>
      <c r="AZ110" s="147" t="s">
        <v>420</v>
      </c>
      <c r="BA110" s="143" t="s">
        <v>431</v>
      </c>
      <c r="BC110" s="144">
        <f>AW110+AX110</f>
        <v>0</v>
      </c>
      <c r="BD110" s="144">
        <f>K110/(100-BE110)*100</f>
        <v>0</v>
      </c>
      <c r="BE110" s="144">
        <v>0</v>
      </c>
      <c r="BF110" s="144">
        <f>110</f>
        <v>110</v>
      </c>
      <c r="BH110" s="132">
        <f>J110*AO110</f>
        <v>0</v>
      </c>
      <c r="BI110" s="132">
        <f>J110*AP110</f>
        <v>0</v>
      </c>
      <c r="BJ110" s="132">
        <f>J110*K110</f>
        <v>0</v>
      </c>
      <c r="BK110" s="132" t="s">
        <v>437</v>
      </c>
      <c r="BL110" s="144">
        <v>83</v>
      </c>
    </row>
    <row r="111" spans="1:13" ht="12.75" customHeight="1">
      <c r="A111" s="55"/>
      <c r="B111" s="107" t="s">
        <v>186</v>
      </c>
      <c r="C111" s="114" t="s">
        <v>347</v>
      </c>
      <c r="D111" s="122"/>
      <c r="E111" s="122"/>
      <c r="F111" s="122"/>
      <c r="G111" s="122"/>
      <c r="H111" s="122"/>
      <c r="I111" s="122"/>
      <c r="J111" s="122"/>
      <c r="K111" s="122"/>
      <c r="L111" s="142"/>
      <c r="M111" s="55"/>
    </row>
    <row r="112" spans="1:64" ht="12" customHeight="1">
      <c r="A112" s="181" t="s">
        <v>118</v>
      </c>
      <c r="B112" s="181" t="s">
        <v>231</v>
      </c>
      <c r="C112" s="178" t="s">
        <v>348</v>
      </c>
      <c r="D112" s="120"/>
      <c r="E112" s="120"/>
      <c r="F112" s="120"/>
      <c r="G112" s="120"/>
      <c r="H112" s="183"/>
      <c r="I112" s="181" t="s">
        <v>381</v>
      </c>
      <c r="J112" s="186">
        <v>5</v>
      </c>
      <c r="K112" s="186">
        <v>0</v>
      </c>
      <c r="L112" s="185">
        <f>J112*K112</f>
        <v>0</v>
      </c>
      <c r="M112" s="166"/>
      <c r="Z112" s="144">
        <f>IF(AQ112="5",BJ112,0)</f>
        <v>0</v>
      </c>
      <c r="AB112" s="144">
        <f>IF(AQ112="1",BH112,0)</f>
        <v>0</v>
      </c>
      <c r="AC112" s="144">
        <f>IF(AQ112="1",BI112,0)</f>
        <v>0</v>
      </c>
      <c r="AD112" s="144">
        <f>IF(AQ112="7",BH112,0)</f>
        <v>0</v>
      </c>
      <c r="AE112" s="144">
        <f>IF(AQ112="7",BI112,0)</f>
        <v>0</v>
      </c>
      <c r="AF112" s="144">
        <f>IF(AQ112="2",BH112,0)</f>
        <v>0</v>
      </c>
      <c r="AG112" s="144">
        <f>IF(AQ112="2",BI112,0)</f>
        <v>0</v>
      </c>
      <c r="AH112" s="144">
        <f>IF(AQ112="0",BJ112,0)</f>
        <v>0</v>
      </c>
      <c r="AI112" s="143" t="s">
        <v>401</v>
      </c>
      <c r="AJ112" s="132">
        <f>IF(AN112=0,L112,0)</f>
        <v>0</v>
      </c>
      <c r="AK112" s="132">
        <f>IF(AN112=15,L112,0)</f>
        <v>0</v>
      </c>
      <c r="AL112" s="132">
        <f>IF(AN112=21,L112,0)</f>
        <v>0</v>
      </c>
      <c r="AN112" s="144">
        <v>21</v>
      </c>
      <c r="AO112" s="144">
        <f>K112*0.304655655913978</f>
        <v>0</v>
      </c>
      <c r="AP112" s="144">
        <f>K112*(1-0.304655655913978)</f>
        <v>0</v>
      </c>
      <c r="AQ112" s="145" t="s">
        <v>73</v>
      </c>
      <c r="AV112" s="144">
        <f>AW112+AX112</f>
        <v>0</v>
      </c>
      <c r="AW112" s="144">
        <f>J112*AO112</f>
        <v>0</v>
      </c>
      <c r="AX112" s="144">
        <f>J112*AP112</f>
        <v>0</v>
      </c>
      <c r="AY112" s="147" t="s">
        <v>410</v>
      </c>
      <c r="AZ112" s="147" t="s">
        <v>420</v>
      </c>
      <c r="BA112" s="143" t="s">
        <v>431</v>
      </c>
      <c r="BC112" s="144">
        <f>AW112+AX112</f>
        <v>0</v>
      </c>
      <c r="BD112" s="144">
        <f>K112/(100-BE112)*100</f>
        <v>0</v>
      </c>
      <c r="BE112" s="144">
        <v>0</v>
      </c>
      <c r="BF112" s="144">
        <f>112</f>
        <v>112</v>
      </c>
      <c r="BH112" s="132">
        <f>J112*AO112</f>
        <v>0</v>
      </c>
      <c r="BI112" s="132">
        <f>J112*AP112</f>
        <v>0</v>
      </c>
      <c r="BJ112" s="132">
        <f>J112*K112</f>
        <v>0</v>
      </c>
      <c r="BK112" s="132" t="s">
        <v>437</v>
      </c>
      <c r="BL112" s="144">
        <v>83</v>
      </c>
    </row>
    <row r="113" spans="1:13" ht="12.75" customHeight="1">
      <c r="A113" s="55"/>
      <c r="B113" s="107" t="s">
        <v>186</v>
      </c>
      <c r="C113" s="114" t="s">
        <v>349</v>
      </c>
      <c r="D113" s="122"/>
      <c r="E113" s="122"/>
      <c r="F113" s="122"/>
      <c r="G113" s="122"/>
      <c r="H113" s="122"/>
      <c r="I113" s="122"/>
      <c r="J113" s="122"/>
      <c r="K113" s="122"/>
      <c r="L113" s="142"/>
      <c r="M113" s="55"/>
    </row>
    <row r="114" spans="1:13" ht="38.25" customHeight="1">
      <c r="A114" s="55"/>
      <c r="B114" s="107" t="s">
        <v>184</v>
      </c>
      <c r="C114" s="113" t="s">
        <v>350</v>
      </c>
      <c r="D114" s="121"/>
      <c r="E114" s="121"/>
      <c r="F114" s="121"/>
      <c r="G114" s="121"/>
      <c r="H114" s="121"/>
      <c r="I114" s="121"/>
      <c r="J114" s="121"/>
      <c r="K114" s="121"/>
      <c r="L114" s="141"/>
      <c r="M114" s="55"/>
    </row>
    <row r="115" spans="1:47" ht="12" customHeight="1">
      <c r="A115" s="179"/>
      <c r="B115" s="180" t="s">
        <v>162</v>
      </c>
      <c r="C115" s="168" t="s">
        <v>351</v>
      </c>
      <c r="D115" s="119"/>
      <c r="E115" s="119"/>
      <c r="F115" s="119"/>
      <c r="G115" s="119"/>
      <c r="H115" s="182"/>
      <c r="I115" s="179" t="s">
        <v>72</v>
      </c>
      <c r="J115" s="179" t="s">
        <v>72</v>
      </c>
      <c r="K115" s="179" t="s">
        <v>72</v>
      </c>
      <c r="L115" s="175">
        <f>SUM(L116:L116)</f>
        <v>0</v>
      </c>
      <c r="M115" s="166"/>
      <c r="AI115" s="143" t="s">
        <v>401</v>
      </c>
      <c r="AS115" s="156">
        <f>SUM(AJ116:AJ116)</f>
        <v>0</v>
      </c>
      <c r="AT115" s="156">
        <f>SUM(AK116:AK116)</f>
        <v>0</v>
      </c>
      <c r="AU115" s="156">
        <f>SUM(AL116:AL116)</f>
        <v>0</v>
      </c>
    </row>
    <row r="116" spans="1:64" ht="12" customHeight="1">
      <c r="A116" s="181" t="s">
        <v>119</v>
      </c>
      <c r="B116" s="181" t="s">
        <v>232</v>
      </c>
      <c r="C116" s="178" t="s">
        <v>352</v>
      </c>
      <c r="D116" s="120"/>
      <c r="E116" s="120"/>
      <c r="F116" s="120"/>
      <c r="G116" s="120"/>
      <c r="H116" s="183"/>
      <c r="I116" s="181" t="s">
        <v>386</v>
      </c>
      <c r="J116" s="186">
        <v>20</v>
      </c>
      <c r="K116" s="186">
        <v>0</v>
      </c>
      <c r="L116" s="185">
        <f>J116*K116</f>
        <v>0</v>
      </c>
      <c r="M116" s="166"/>
      <c r="Z116" s="144">
        <f>IF(AQ116="5",BJ116,0)</f>
        <v>0</v>
      </c>
      <c r="AB116" s="144">
        <f>IF(AQ116="1",BH116,0)</f>
        <v>0</v>
      </c>
      <c r="AC116" s="144">
        <f>IF(AQ116="1",BI116,0)</f>
        <v>0</v>
      </c>
      <c r="AD116" s="144">
        <f>IF(AQ116="7",BH116,0)</f>
        <v>0</v>
      </c>
      <c r="AE116" s="144">
        <f>IF(AQ116="7",BI116,0)</f>
        <v>0</v>
      </c>
      <c r="AF116" s="144">
        <f>IF(AQ116="2",BH116,0)</f>
        <v>0</v>
      </c>
      <c r="AG116" s="144">
        <f>IF(AQ116="2",BI116,0)</f>
        <v>0</v>
      </c>
      <c r="AH116" s="144">
        <f>IF(AQ116="0",BJ116,0)</f>
        <v>0</v>
      </c>
      <c r="AI116" s="143" t="s">
        <v>401</v>
      </c>
      <c r="AJ116" s="132">
        <f>IF(AN116=0,L116,0)</f>
        <v>0</v>
      </c>
      <c r="AK116" s="132">
        <f>IF(AN116=15,L116,0)</f>
        <v>0</v>
      </c>
      <c r="AL116" s="132">
        <f>IF(AN116=21,L116,0)</f>
        <v>0</v>
      </c>
      <c r="AN116" s="144">
        <v>21</v>
      </c>
      <c r="AO116" s="144">
        <f>K116*0</f>
        <v>0</v>
      </c>
      <c r="AP116" s="144">
        <f>K116*(1-0)</f>
        <v>0</v>
      </c>
      <c r="AQ116" s="145" t="s">
        <v>73</v>
      </c>
      <c r="AV116" s="144">
        <f>AW116+AX116</f>
        <v>0</v>
      </c>
      <c r="AW116" s="144">
        <f>J116*AO116</f>
        <v>0</v>
      </c>
      <c r="AX116" s="144">
        <f>J116*AP116</f>
        <v>0</v>
      </c>
      <c r="AY116" s="147" t="s">
        <v>411</v>
      </c>
      <c r="AZ116" s="147" t="s">
        <v>421</v>
      </c>
      <c r="BA116" s="143" t="s">
        <v>431</v>
      </c>
      <c r="BC116" s="144">
        <f>AW116+AX116</f>
        <v>0</v>
      </c>
      <c r="BD116" s="144">
        <f>K116/(100-BE116)*100</f>
        <v>0</v>
      </c>
      <c r="BE116" s="144">
        <v>0</v>
      </c>
      <c r="BF116" s="144">
        <f>116</f>
        <v>116</v>
      </c>
      <c r="BH116" s="132">
        <f>J116*AO116</f>
        <v>0</v>
      </c>
      <c r="BI116" s="132">
        <f>J116*AP116</f>
        <v>0</v>
      </c>
      <c r="BJ116" s="132">
        <f>J116*K116</f>
        <v>0</v>
      </c>
      <c r="BK116" s="132" t="s">
        <v>437</v>
      </c>
      <c r="BL116" s="144">
        <v>90</v>
      </c>
    </row>
    <row r="117" spans="1:13" ht="12.75" customHeight="1">
      <c r="A117" s="55"/>
      <c r="B117" s="107" t="s">
        <v>186</v>
      </c>
      <c r="C117" s="114" t="s">
        <v>353</v>
      </c>
      <c r="D117" s="122"/>
      <c r="E117" s="122"/>
      <c r="F117" s="122"/>
      <c r="G117" s="122"/>
      <c r="H117" s="122"/>
      <c r="I117" s="122"/>
      <c r="J117" s="122"/>
      <c r="K117" s="122"/>
      <c r="L117" s="142"/>
      <c r="M117" s="55"/>
    </row>
    <row r="118" spans="1:47" ht="12" customHeight="1">
      <c r="A118" s="179"/>
      <c r="B118" s="180" t="s">
        <v>233</v>
      </c>
      <c r="C118" s="168" t="s">
        <v>354</v>
      </c>
      <c r="D118" s="119"/>
      <c r="E118" s="119"/>
      <c r="F118" s="119"/>
      <c r="G118" s="119"/>
      <c r="H118" s="182"/>
      <c r="I118" s="179" t="s">
        <v>72</v>
      </c>
      <c r="J118" s="179" t="s">
        <v>72</v>
      </c>
      <c r="K118" s="179" t="s">
        <v>72</v>
      </c>
      <c r="L118" s="175">
        <f>SUM(L119:L125)</f>
        <v>0</v>
      </c>
      <c r="M118" s="166"/>
      <c r="AI118" s="143" t="s">
        <v>401</v>
      </c>
      <c r="AS118" s="156">
        <f>SUM(AJ119:AJ125)</f>
        <v>0</v>
      </c>
      <c r="AT118" s="156">
        <f>SUM(AK119:AK125)</f>
        <v>0</v>
      </c>
      <c r="AU118" s="156">
        <f>SUM(AL119:AL125)</f>
        <v>0</v>
      </c>
    </row>
    <row r="119" spans="1:64" ht="12" customHeight="1">
      <c r="A119" s="187" t="s">
        <v>120</v>
      </c>
      <c r="B119" s="187" t="s">
        <v>234</v>
      </c>
      <c r="C119" s="177" t="s">
        <v>355</v>
      </c>
      <c r="D119" s="120"/>
      <c r="E119" s="120"/>
      <c r="F119" s="120"/>
      <c r="G119" s="120"/>
      <c r="H119" s="188"/>
      <c r="I119" s="187" t="s">
        <v>380</v>
      </c>
      <c r="J119" s="189">
        <v>30</v>
      </c>
      <c r="K119" s="189">
        <v>0</v>
      </c>
      <c r="L119" s="184">
        <f>J119*K119</f>
        <v>0</v>
      </c>
      <c r="M119" s="166"/>
      <c r="Z119" s="144">
        <f>IF(AQ119="5",BJ119,0)</f>
        <v>0</v>
      </c>
      <c r="AB119" s="144">
        <f>IF(AQ119="1",BH119,0)</f>
        <v>0</v>
      </c>
      <c r="AC119" s="144">
        <f>IF(AQ119="1",BI119,0)</f>
        <v>0</v>
      </c>
      <c r="AD119" s="144">
        <f>IF(AQ119="7",BH119,0)</f>
        <v>0</v>
      </c>
      <c r="AE119" s="144">
        <f>IF(AQ119="7",BI119,0)</f>
        <v>0</v>
      </c>
      <c r="AF119" s="144">
        <f>IF(AQ119="2",BH119,0)</f>
        <v>0</v>
      </c>
      <c r="AG119" s="144">
        <f>IF(AQ119="2",BI119,0)</f>
        <v>0</v>
      </c>
      <c r="AH119" s="144">
        <f>IF(AQ119="0",BJ119,0)</f>
        <v>0</v>
      </c>
      <c r="AI119" s="143" t="s">
        <v>401</v>
      </c>
      <c r="AJ119" s="132">
        <f>IF(AN119=0,L119,0)</f>
        <v>0</v>
      </c>
      <c r="AK119" s="132">
        <f>IF(AN119=15,L119,0)</f>
        <v>0</v>
      </c>
      <c r="AL119" s="132">
        <f>IF(AN119=21,L119,0)</f>
        <v>0</v>
      </c>
      <c r="AN119" s="144">
        <v>21</v>
      </c>
      <c r="AO119" s="144">
        <f>K119*0</f>
        <v>0</v>
      </c>
      <c r="AP119" s="144">
        <f>K119*(1-0)</f>
        <v>0</v>
      </c>
      <c r="AQ119" s="145" t="s">
        <v>73</v>
      </c>
      <c r="AV119" s="144">
        <f>AW119+AX119</f>
        <v>0</v>
      </c>
      <c r="AW119" s="144">
        <f>J119*AO119</f>
        <v>0</v>
      </c>
      <c r="AX119" s="144">
        <f>J119*AP119</f>
        <v>0</v>
      </c>
      <c r="AY119" s="147" t="s">
        <v>412</v>
      </c>
      <c r="AZ119" s="147" t="s">
        <v>421</v>
      </c>
      <c r="BA119" s="143" t="s">
        <v>431</v>
      </c>
      <c r="BC119" s="144">
        <f>AW119+AX119</f>
        <v>0</v>
      </c>
      <c r="BD119" s="144">
        <f>K119/(100-BE119)*100</f>
        <v>0</v>
      </c>
      <c r="BE119" s="144">
        <v>0</v>
      </c>
      <c r="BF119" s="144">
        <f>119</f>
        <v>119</v>
      </c>
      <c r="BH119" s="132">
        <f>J119*AO119</f>
        <v>0</v>
      </c>
      <c r="BI119" s="132">
        <f>J119*AP119</f>
        <v>0</v>
      </c>
      <c r="BJ119" s="132">
        <f>J119*K119</f>
        <v>0</v>
      </c>
      <c r="BK119" s="132" t="s">
        <v>437</v>
      </c>
      <c r="BL119" s="144" t="s">
        <v>233</v>
      </c>
    </row>
    <row r="120" spans="1:64" ht="12" customHeight="1">
      <c r="A120" s="187" t="s">
        <v>121</v>
      </c>
      <c r="B120" s="187" t="s">
        <v>235</v>
      </c>
      <c r="C120" s="177" t="s">
        <v>356</v>
      </c>
      <c r="D120" s="120"/>
      <c r="E120" s="120"/>
      <c r="F120" s="120"/>
      <c r="G120" s="120"/>
      <c r="H120" s="188"/>
      <c r="I120" s="187" t="s">
        <v>384</v>
      </c>
      <c r="J120" s="189">
        <v>12</v>
      </c>
      <c r="K120" s="189">
        <v>0</v>
      </c>
      <c r="L120" s="184">
        <f>J120*K120</f>
        <v>0</v>
      </c>
      <c r="M120" s="166"/>
      <c r="Z120" s="144">
        <f>IF(AQ120="5",BJ120,0)</f>
        <v>0</v>
      </c>
      <c r="AB120" s="144">
        <f>IF(AQ120="1",BH120,0)</f>
        <v>0</v>
      </c>
      <c r="AC120" s="144">
        <f>IF(AQ120="1",BI120,0)</f>
        <v>0</v>
      </c>
      <c r="AD120" s="144">
        <f>IF(AQ120="7",BH120,0)</f>
        <v>0</v>
      </c>
      <c r="AE120" s="144">
        <f>IF(AQ120="7",BI120,0)</f>
        <v>0</v>
      </c>
      <c r="AF120" s="144">
        <f>IF(AQ120="2",BH120,0)</f>
        <v>0</v>
      </c>
      <c r="AG120" s="144">
        <f>IF(AQ120="2",BI120,0)</f>
        <v>0</v>
      </c>
      <c r="AH120" s="144">
        <f>IF(AQ120="0",BJ120,0)</f>
        <v>0</v>
      </c>
      <c r="AI120" s="143" t="s">
        <v>401</v>
      </c>
      <c r="AJ120" s="132">
        <f>IF(AN120=0,L120,0)</f>
        <v>0</v>
      </c>
      <c r="AK120" s="132">
        <f>IF(AN120=15,L120,0)</f>
        <v>0</v>
      </c>
      <c r="AL120" s="132">
        <f>IF(AN120=21,L120,0)</f>
        <v>0</v>
      </c>
      <c r="AN120" s="144">
        <v>21</v>
      </c>
      <c r="AO120" s="144">
        <f>K120*0</f>
        <v>0</v>
      </c>
      <c r="AP120" s="144">
        <f>K120*(1-0)</f>
        <v>0</v>
      </c>
      <c r="AQ120" s="145" t="s">
        <v>77</v>
      </c>
      <c r="AV120" s="144">
        <f>AW120+AX120</f>
        <v>0</v>
      </c>
      <c r="AW120" s="144">
        <f>J120*AO120</f>
        <v>0</v>
      </c>
      <c r="AX120" s="144">
        <f>J120*AP120</f>
        <v>0</v>
      </c>
      <c r="AY120" s="147" t="s">
        <v>412</v>
      </c>
      <c r="AZ120" s="147" t="s">
        <v>421</v>
      </c>
      <c r="BA120" s="143" t="s">
        <v>431</v>
      </c>
      <c r="BC120" s="144">
        <f>AW120+AX120</f>
        <v>0</v>
      </c>
      <c r="BD120" s="144">
        <f>K120/(100-BE120)*100</f>
        <v>0</v>
      </c>
      <c r="BE120" s="144">
        <v>0</v>
      </c>
      <c r="BF120" s="144">
        <f>120</f>
        <v>120</v>
      </c>
      <c r="BH120" s="132">
        <f>J120*AO120</f>
        <v>0</v>
      </c>
      <c r="BI120" s="132">
        <f>J120*AP120</f>
        <v>0</v>
      </c>
      <c r="BJ120" s="132">
        <f>J120*K120</f>
        <v>0</v>
      </c>
      <c r="BK120" s="132" t="s">
        <v>437</v>
      </c>
      <c r="BL120" s="144" t="s">
        <v>233</v>
      </c>
    </row>
    <row r="121" spans="1:64" ht="12" customHeight="1">
      <c r="A121" s="181" t="s">
        <v>122</v>
      </c>
      <c r="B121" s="181" t="s">
        <v>236</v>
      </c>
      <c r="C121" s="178" t="s">
        <v>357</v>
      </c>
      <c r="D121" s="120"/>
      <c r="E121" s="120"/>
      <c r="F121" s="120"/>
      <c r="G121" s="120"/>
      <c r="H121" s="183"/>
      <c r="I121" s="181" t="s">
        <v>384</v>
      </c>
      <c r="J121" s="186">
        <v>20</v>
      </c>
      <c r="K121" s="186">
        <v>0</v>
      </c>
      <c r="L121" s="185">
        <f>J121*K121</f>
        <v>0</v>
      </c>
      <c r="M121" s="166"/>
      <c r="Z121" s="144">
        <f>IF(AQ121="5",BJ121,0)</f>
        <v>0</v>
      </c>
      <c r="AB121" s="144">
        <f>IF(AQ121="1",BH121,0)</f>
        <v>0</v>
      </c>
      <c r="AC121" s="144">
        <f>IF(AQ121="1",BI121,0)</f>
        <v>0</v>
      </c>
      <c r="AD121" s="144">
        <f>IF(AQ121="7",BH121,0)</f>
        <v>0</v>
      </c>
      <c r="AE121" s="144">
        <f>IF(AQ121="7",BI121,0)</f>
        <v>0</v>
      </c>
      <c r="AF121" s="144">
        <f>IF(AQ121="2",BH121,0)</f>
        <v>0</v>
      </c>
      <c r="AG121" s="144">
        <f>IF(AQ121="2",BI121,0)</f>
        <v>0</v>
      </c>
      <c r="AH121" s="144">
        <f>IF(AQ121="0",BJ121,0)</f>
        <v>0</v>
      </c>
      <c r="AI121" s="143" t="s">
        <v>401</v>
      </c>
      <c r="AJ121" s="132">
        <f>IF(AN121=0,L121,0)</f>
        <v>0</v>
      </c>
      <c r="AK121" s="132">
        <f>IF(AN121=15,L121,0)</f>
        <v>0</v>
      </c>
      <c r="AL121" s="132">
        <f>IF(AN121=21,L121,0)</f>
        <v>0</v>
      </c>
      <c r="AN121" s="144">
        <v>21</v>
      </c>
      <c r="AO121" s="144">
        <f>K121*0</f>
        <v>0</v>
      </c>
      <c r="AP121" s="144">
        <f>K121*(1-0)</f>
        <v>0</v>
      </c>
      <c r="AQ121" s="145" t="s">
        <v>77</v>
      </c>
      <c r="AV121" s="144">
        <f>AW121+AX121</f>
        <v>0</v>
      </c>
      <c r="AW121" s="144">
        <f>J121*AO121</f>
        <v>0</v>
      </c>
      <c r="AX121" s="144">
        <f>J121*AP121</f>
        <v>0</v>
      </c>
      <c r="AY121" s="147" t="s">
        <v>412</v>
      </c>
      <c r="AZ121" s="147" t="s">
        <v>421</v>
      </c>
      <c r="BA121" s="143" t="s">
        <v>431</v>
      </c>
      <c r="BC121" s="144">
        <f>AW121+AX121</f>
        <v>0</v>
      </c>
      <c r="BD121" s="144">
        <f>K121/(100-BE121)*100</f>
        <v>0</v>
      </c>
      <c r="BE121" s="144">
        <v>0</v>
      </c>
      <c r="BF121" s="144">
        <f>121</f>
        <v>121</v>
      </c>
      <c r="BH121" s="132">
        <f>J121*AO121</f>
        <v>0</v>
      </c>
      <c r="BI121" s="132">
        <f>J121*AP121</f>
        <v>0</v>
      </c>
      <c r="BJ121" s="132">
        <f>J121*K121</f>
        <v>0</v>
      </c>
      <c r="BK121" s="132" t="s">
        <v>437</v>
      </c>
      <c r="BL121" s="144" t="s">
        <v>233</v>
      </c>
    </row>
    <row r="122" spans="1:13" ht="12.75" customHeight="1">
      <c r="A122" s="55"/>
      <c r="B122" s="107" t="s">
        <v>184</v>
      </c>
      <c r="C122" s="113" t="s">
        <v>358</v>
      </c>
      <c r="D122" s="121"/>
      <c r="E122" s="121"/>
      <c r="F122" s="121"/>
      <c r="G122" s="121"/>
      <c r="H122" s="121"/>
      <c r="I122" s="121"/>
      <c r="J122" s="121"/>
      <c r="K122" s="121"/>
      <c r="L122" s="141"/>
      <c r="M122" s="55"/>
    </row>
    <row r="123" spans="1:64" ht="12" customHeight="1">
      <c r="A123" s="187" t="s">
        <v>123</v>
      </c>
      <c r="B123" s="187" t="s">
        <v>237</v>
      </c>
      <c r="C123" s="177" t="s">
        <v>359</v>
      </c>
      <c r="D123" s="120"/>
      <c r="E123" s="120"/>
      <c r="F123" s="120"/>
      <c r="G123" s="120"/>
      <c r="H123" s="188"/>
      <c r="I123" s="187" t="s">
        <v>384</v>
      </c>
      <c r="J123" s="189">
        <v>20</v>
      </c>
      <c r="K123" s="189">
        <v>0</v>
      </c>
      <c r="L123" s="184">
        <f>J123*K123</f>
        <v>0</v>
      </c>
      <c r="M123" s="166"/>
      <c r="Z123" s="144">
        <f>IF(AQ123="5",BJ123,0)</f>
        <v>0</v>
      </c>
      <c r="AB123" s="144">
        <f>IF(AQ123="1",BH123,0)</f>
        <v>0</v>
      </c>
      <c r="AC123" s="144">
        <f>IF(AQ123="1",BI123,0)</f>
        <v>0</v>
      </c>
      <c r="AD123" s="144">
        <f>IF(AQ123="7",BH123,0)</f>
        <v>0</v>
      </c>
      <c r="AE123" s="144">
        <f>IF(AQ123="7",BI123,0)</f>
        <v>0</v>
      </c>
      <c r="AF123" s="144">
        <f>IF(AQ123="2",BH123,0)</f>
        <v>0</v>
      </c>
      <c r="AG123" s="144">
        <f>IF(AQ123="2",BI123,0)</f>
        <v>0</v>
      </c>
      <c r="AH123" s="144">
        <f>IF(AQ123="0",BJ123,0)</f>
        <v>0</v>
      </c>
      <c r="AI123" s="143" t="s">
        <v>401</v>
      </c>
      <c r="AJ123" s="132">
        <f>IF(AN123=0,L123,0)</f>
        <v>0</v>
      </c>
      <c r="AK123" s="132">
        <f>IF(AN123=15,L123,0)</f>
        <v>0</v>
      </c>
      <c r="AL123" s="132">
        <f>IF(AN123=21,L123,0)</f>
        <v>0</v>
      </c>
      <c r="AN123" s="144">
        <v>21</v>
      </c>
      <c r="AO123" s="144">
        <f>K123*0</f>
        <v>0</v>
      </c>
      <c r="AP123" s="144">
        <f>K123*(1-0)</f>
        <v>0</v>
      </c>
      <c r="AQ123" s="145" t="s">
        <v>73</v>
      </c>
      <c r="AV123" s="144">
        <f>AW123+AX123</f>
        <v>0</v>
      </c>
      <c r="AW123" s="144">
        <f>J123*AO123</f>
        <v>0</v>
      </c>
      <c r="AX123" s="144">
        <f>J123*AP123</f>
        <v>0</v>
      </c>
      <c r="AY123" s="147" t="s">
        <v>412</v>
      </c>
      <c r="AZ123" s="147" t="s">
        <v>421</v>
      </c>
      <c r="BA123" s="143" t="s">
        <v>431</v>
      </c>
      <c r="BC123" s="144">
        <f>AW123+AX123</f>
        <v>0</v>
      </c>
      <c r="BD123" s="144">
        <f>K123/(100-BE123)*100</f>
        <v>0</v>
      </c>
      <c r="BE123" s="144">
        <v>0</v>
      </c>
      <c r="BF123" s="144">
        <f>123</f>
        <v>123</v>
      </c>
      <c r="BH123" s="132">
        <f>J123*AO123</f>
        <v>0</v>
      </c>
      <c r="BI123" s="132">
        <f>J123*AP123</f>
        <v>0</v>
      </c>
      <c r="BJ123" s="132">
        <f>J123*K123</f>
        <v>0</v>
      </c>
      <c r="BK123" s="132" t="s">
        <v>437</v>
      </c>
      <c r="BL123" s="144" t="s">
        <v>233</v>
      </c>
    </row>
    <row r="124" spans="1:64" ht="12" customHeight="1">
      <c r="A124" s="187" t="s">
        <v>124</v>
      </c>
      <c r="B124" s="187" t="s">
        <v>238</v>
      </c>
      <c r="C124" s="177" t="s">
        <v>360</v>
      </c>
      <c r="D124" s="120"/>
      <c r="E124" s="120"/>
      <c r="F124" s="120"/>
      <c r="G124" s="120"/>
      <c r="H124" s="188"/>
      <c r="I124" s="187" t="s">
        <v>384</v>
      </c>
      <c r="J124" s="189">
        <v>19</v>
      </c>
      <c r="K124" s="189">
        <v>0</v>
      </c>
      <c r="L124" s="184">
        <f>J124*K124</f>
        <v>0</v>
      </c>
      <c r="M124" s="166"/>
      <c r="Z124" s="144">
        <f>IF(AQ124="5",BJ124,0)</f>
        <v>0</v>
      </c>
      <c r="AB124" s="144">
        <f>IF(AQ124="1",BH124,0)</f>
        <v>0</v>
      </c>
      <c r="AC124" s="144">
        <f>IF(AQ124="1",BI124,0)</f>
        <v>0</v>
      </c>
      <c r="AD124" s="144">
        <f>IF(AQ124="7",BH124,0)</f>
        <v>0</v>
      </c>
      <c r="AE124" s="144">
        <f>IF(AQ124="7",BI124,0)</f>
        <v>0</v>
      </c>
      <c r="AF124" s="144">
        <f>IF(AQ124="2",BH124,0)</f>
        <v>0</v>
      </c>
      <c r="AG124" s="144">
        <f>IF(AQ124="2",BI124,0)</f>
        <v>0</v>
      </c>
      <c r="AH124" s="144">
        <f>IF(AQ124="0",BJ124,0)</f>
        <v>0</v>
      </c>
      <c r="AI124" s="143" t="s">
        <v>401</v>
      </c>
      <c r="AJ124" s="132">
        <f>IF(AN124=0,L124,0)</f>
        <v>0</v>
      </c>
      <c r="AK124" s="132">
        <f>IF(AN124=15,L124,0)</f>
        <v>0</v>
      </c>
      <c r="AL124" s="132">
        <f>IF(AN124=21,L124,0)</f>
        <v>0</v>
      </c>
      <c r="AN124" s="144">
        <v>21</v>
      </c>
      <c r="AO124" s="144">
        <f>K124*0</f>
        <v>0</v>
      </c>
      <c r="AP124" s="144">
        <f>K124*(1-0)</f>
        <v>0</v>
      </c>
      <c r="AQ124" s="145" t="s">
        <v>77</v>
      </c>
      <c r="AV124" s="144">
        <f>AW124+AX124</f>
        <v>0</v>
      </c>
      <c r="AW124" s="144">
        <f>J124*AO124</f>
        <v>0</v>
      </c>
      <c r="AX124" s="144">
        <f>J124*AP124</f>
        <v>0</v>
      </c>
      <c r="AY124" s="147" t="s">
        <v>412</v>
      </c>
      <c r="AZ124" s="147" t="s">
        <v>421</v>
      </c>
      <c r="BA124" s="143" t="s">
        <v>431</v>
      </c>
      <c r="BC124" s="144">
        <f>AW124+AX124</f>
        <v>0</v>
      </c>
      <c r="BD124" s="144">
        <f>K124/(100-BE124)*100</f>
        <v>0</v>
      </c>
      <c r="BE124" s="144">
        <v>0</v>
      </c>
      <c r="BF124" s="144">
        <f>124</f>
        <v>124</v>
      </c>
      <c r="BH124" s="132">
        <f>J124*AO124</f>
        <v>0</v>
      </c>
      <c r="BI124" s="132">
        <f>J124*AP124</f>
        <v>0</v>
      </c>
      <c r="BJ124" s="132">
        <f>J124*K124</f>
        <v>0</v>
      </c>
      <c r="BK124" s="132" t="s">
        <v>437</v>
      </c>
      <c r="BL124" s="144" t="s">
        <v>233</v>
      </c>
    </row>
    <row r="125" spans="1:64" ht="12" customHeight="1">
      <c r="A125" s="181" t="s">
        <v>125</v>
      </c>
      <c r="B125" s="181" t="s">
        <v>239</v>
      </c>
      <c r="C125" s="178" t="s">
        <v>361</v>
      </c>
      <c r="D125" s="120"/>
      <c r="E125" s="120"/>
      <c r="F125" s="120"/>
      <c r="G125" s="120"/>
      <c r="H125" s="183"/>
      <c r="I125" s="181" t="s">
        <v>384</v>
      </c>
      <c r="J125" s="186">
        <v>1</v>
      </c>
      <c r="K125" s="186">
        <v>0</v>
      </c>
      <c r="L125" s="185">
        <f>J125*K125</f>
        <v>0</v>
      </c>
      <c r="M125" s="166"/>
      <c r="Z125" s="144">
        <f>IF(AQ125="5",BJ125,0)</f>
        <v>0</v>
      </c>
      <c r="AB125" s="144">
        <f>IF(AQ125="1",BH125,0)</f>
        <v>0</v>
      </c>
      <c r="AC125" s="144">
        <f>IF(AQ125="1",BI125,0)</f>
        <v>0</v>
      </c>
      <c r="AD125" s="144">
        <f>IF(AQ125="7",BH125,0)</f>
        <v>0</v>
      </c>
      <c r="AE125" s="144">
        <f>IF(AQ125="7",BI125,0)</f>
        <v>0</v>
      </c>
      <c r="AF125" s="144">
        <f>IF(AQ125="2",BH125,0)</f>
        <v>0</v>
      </c>
      <c r="AG125" s="144">
        <f>IF(AQ125="2",BI125,0)</f>
        <v>0</v>
      </c>
      <c r="AH125" s="144">
        <f>IF(AQ125="0",BJ125,0)</f>
        <v>0</v>
      </c>
      <c r="AI125" s="143" t="s">
        <v>401</v>
      </c>
      <c r="AJ125" s="132">
        <f>IF(AN125=0,L125,0)</f>
        <v>0</v>
      </c>
      <c r="AK125" s="132">
        <f>IF(AN125=15,L125,0)</f>
        <v>0</v>
      </c>
      <c r="AL125" s="132">
        <f>IF(AN125=21,L125,0)</f>
        <v>0</v>
      </c>
      <c r="AN125" s="144">
        <v>21</v>
      </c>
      <c r="AO125" s="144">
        <f>K125*0</f>
        <v>0</v>
      </c>
      <c r="AP125" s="144">
        <f>K125*(1-0)</f>
        <v>0</v>
      </c>
      <c r="AQ125" s="145" t="s">
        <v>77</v>
      </c>
      <c r="AV125" s="144">
        <f>AW125+AX125</f>
        <v>0</v>
      </c>
      <c r="AW125" s="144">
        <f>J125*AO125</f>
        <v>0</v>
      </c>
      <c r="AX125" s="144">
        <f>J125*AP125</f>
        <v>0</v>
      </c>
      <c r="AY125" s="147" t="s">
        <v>412</v>
      </c>
      <c r="AZ125" s="147" t="s">
        <v>421</v>
      </c>
      <c r="BA125" s="143" t="s">
        <v>431</v>
      </c>
      <c r="BC125" s="144">
        <f>AW125+AX125</f>
        <v>0</v>
      </c>
      <c r="BD125" s="144">
        <f>K125/(100-BE125)*100</f>
        <v>0</v>
      </c>
      <c r="BE125" s="144">
        <v>0</v>
      </c>
      <c r="BF125" s="144">
        <f>125</f>
        <v>125</v>
      </c>
      <c r="BH125" s="132">
        <f>J125*AO125</f>
        <v>0</v>
      </c>
      <c r="BI125" s="132">
        <f>J125*AP125</f>
        <v>0</v>
      </c>
      <c r="BJ125" s="132">
        <f>J125*K125</f>
        <v>0</v>
      </c>
      <c r="BK125" s="132" t="s">
        <v>437</v>
      </c>
      <c r="BL125" s="144" t="s">
        <v>233</v>
      </c>
    </row>
    <row r="126" spans="1:13" ht="12" customHeight="1">
      <c r="A126" s="98"/>
      <c r="B126" s="109"/>
      <c r="C126" s="109" t="s">
        <v>362</v>
      </c>
      <c r="D126" s="124"/>
      <c r="E126" s="124"/>
      <c r="F126" s="124"/>
      <c r="G126" s="124"/>
      <c r="H126" s="124"/>
      <c r="I126" s="130" t="s">
        <v>72</v>
      </c>
      <c r="J126" s="130" t="s">
        <v>72</v>
      </c>
      <c r="K126" s="130" t="s">
        <v>72</v>
      </c>
      <c r="L126" s="153">
        <f>L127+L159+L163+L172+L177+L198+L211+L228+L235+L238</f>
        <v>0</v>
      </c>
      <c r="M126" s="55"/>
    </row>
    <row r="127" spans="1:47" ht="12" customHeight="1">
      <c r="A127" s="95"/>
      <c r="B127" s="105" t="s">
        <v>182</v>
      </c>
      <c r="C127" s="105" t="s">
        <v>249</v>
      </c>
      <c r="D127" s="119"/>
      <c r="E127" s="119"/>
      <c r="F127" s="119"/>
      <c r="G127" s="119"/>
      <c r="H127" s="119"/>
      <c r="I127" s="129" t="s">
        <v>72</v>
      </c>
      <c r="J127" s="129" t="s">
        <v>72</v>
      </c>
      <c r="K127" s="129" t="s">
        <v>72</v>
      </c>
      <c r="L127" s="150">
        <f>SUM(L128:L157)</f>
        <v>0</v>
      </c>
      <c r="M127" s="55"/>
      <c r="AI127" s="143" t="s">
        <v>402</v>
      </c>
      <c r="AS127" s="156">
        <f>SUM(AJ128:AJ157)</f>
        <v>0</v>
      </c>
      <c r="AT127" s="156">
        <f>SUM(AK128:AK157)</f>
        <v>0</v>
      </c>
      <c r="AU127" s="156">
        <f>SUM(AL128:AL157)</f>
        <v>0</v>
      </c>
    </row>
    <row r="128" spans="1:64" ht="12" customHeight="1">
      <c r="A128" s="96" t="s">
        <v>126</v>
      </c>
      <c r="B128" s="106" t="s">
        <v>183</v>
      </c>
      <c r="C128" s="106" t="s">
        <v>250</v>
      </c>
      <c r="D128" s="120"/>
      <c r="E128" s="120"/>
      <c r="F128" s="120"/>
      <c r="G128" s="120"/>
      <c r="H128" s="120"/>
      <c r="I128" s="106" t="s">
        <v>379</v>
      </c>
      <c r="J128" s="132">
        <v>30</v>
      </c>
      <c r="K128" s="132">
        <v>0</v>
      </c>
      <c r="L128" s="151">
        <f>J128*K128</f>
        <v>0</v>
      </c>
      <c r="M128" s="55"/>
      <c r="Z128" s="144">
        <f>IF(AQ128="5",BJ128,0)</f>
        <v>0</v>
      </c>
      <c r="AB128" s="144">
        <f>IF(AQ128="1",BH128,0)</f>
        <v>0</v>
      </c>
      <c r="AC128" s="144">
        <f>IF(AQ128="1",BI128,0)</f>
        <v>0</v>
      </c>
      <c r="AD128" s="144">
        <f>IF(AQ128="7",BH128,0)</f>
        <v>0</v>
      </c>
      <c r="AE128" s="144">
        <f>IF(AQ128="7",BI128,0)</f>
        <v>0</v>
      </c>
      <c r="AF128" s="144">
        <f>IF(AQ128="2",BH128,0)</f>
        <v>0</v>
      </c>
      <c r="AG128" s="144">
        <f>IF(AQ128="2",BI128,0)</f>
        <v>0</v>
      </c>
      <c r="AH128" s="144">
        <f>IF(AQ128="0",BJ128,0)</f>
        <v>0</v>
      </c>
      <c r="AI128" s="143" t="s">
        <v>402</v>
      </c>
      <c r="AJ128" s="132">
        <f>IF(AN128=0,L128,0)</f>
        <v>0</v>
      </c>
      <c r="AK128" s="132">
        <f>IF(AN128=15,L128,0)</f>
        <v>0</v>
      </c>
      <c r="AL128" s="132">
        <f>IF(AN128=21,L128,0)</f>
        <v>0</v>
      </c>
      <c r="AN128" s="144">
        <v>21</v>
      </c>
      <c r="AO128" s="144">
        <f>K128*0</f>
        <v>0</v>
      </c>
      <c r="AP128" s="144">
        <f>K128*(1-0)</f>
        <v>0</v>
      </c>
      <c r="AQ128" s="145" t="s">
        <v>73</v>
      </c>
      <c r="AV128" s="144">
        <f>AW128+AX128</f>
        <v>0</v>
      </c>
      <c r="AW128" s="144">
        <f>J128*AO128</f>
        <v>0</v>
      </c>
      <c r="AX128" s="144">
        <f>J128*AP128</f>
        <v>0</v>
      </c>
      <c r="AY128" s="147" t="s">
        <v>403</v>
      </c>
      <c r="AZ128" s="147" t="s">
        <v>422</v>
      </c>
      <c r="BA128" s="143" t="s">
        <v>432</v>
      </c>
      <c r="BC128" s="144">
        <f>AW128+AX128</f>
        <v>0</v>
      </c>
      <c r="BD128" s="144">
        <f>K128/(100-BE128)*100</f>
        <v>0</v>
      </c>
      <c r="BE128" s="144">
        <v>0</v>
      </c>
      <c r="BF128" s="144">
        <f>128</f>
        <v>128</v>
      </c>
      <c r="BH128" s="132">
        <f>J128*AO128</f>
        <v>0</v>
      </c>
      <c r="BI128" s="132">
        <f>J128*AP128</f>
        <v>0</v>
      </c>
      <c r="BJ128" s="132">
        <f>J128*K128</f>
        <v>0</v>
      </c>
      <c r="BK128" s="132" t="s">
        <v>437</v>
      </c>
      <c r="BL128" s="144">
        <v>1</v>
      </c>
    </row>
    <row r="129" spans="1:13" ht="12.75" customHeight="1">
      <c r="A129" s="55"/>
      <c r="B129" s="107" t="s">
        <v>184</v>
      </c>
      <c r="C129" s="113" t="s">
        <v>251</v>
      </c>
      <c r="D129" s="121"/>
      <c r="E129" s="121"/>
      <c r="F129" s="121"/>
      <c r="G129" s="121"/>
      <c r="H129" s="121"/>
      <c r="I129" s="121"/>
      <c r="J129" s="121"/>
      <c r="K129" s="121"/>
      <c r="L129" s="141"/>
      <c r="M129" s="55"/>
    </row>
    <row r="130" spans="1:64" ht="12" customHeight="1">
      <c r="A130" s="96" t="s">
        <v>127</v>
      </c>
      <c r="B130" s="106" t="s">
        <v>185</v>
      </c>
      <c r="C130" s="106" t="s">
        <v>252</v>
      </c>
      <c r="D130" s="120"/>
      <c r="E130" s="120"/>
      <c r="F130" s="120"/>
      <c r="G130" s="120"/>
      <c r="H130" s="120"/>
      <c r="I130" s="106" t="s">
        <v>379</v>
      </c>
      <c r="J130" s="132">
        <v>30</v>
      </c>
      <c r="K130" s="132">
        <v>0</v>
      </c>
      <c r="L130" s="151">
        <f>J130*K130</f>
        <v>0</v>
      </c>
      <c r="M130" s="55"/>
      <c r="Z130" s="144">
        <f>IF(AQ130="5",BJ130,0)</f>
        <v>0</v>
      </c>
      <c r="AB130" s="144">
        <f>IF(AQ130="1",BH130,0)</f>
        <v>0</v>
      </c>
      <c r="AC130" s="144">
        <f>IF(AQ130="1",BI130,0)</f>
        <v>0</v>
      </c>
      <c r="AD130" s="144">
        <f>IF(AQ130="7",BH130,0)</f>
        <v>0</v>
      </c>
      <c r="AE130" s="144">
        <f>IF(AQ130="7",BI130,0)</f>
        <v>0</v>
      </c>
      <c r="AF130" s="144">
        <f>IF(AQ130="2",BH130,0)</f>
        <v>0</v>
      </c>
      <c r="AG130" s="144">
        <f>IF(AQ130="2",BI130,0)</f>
        <v>0</v>
      </c>
      <c r="AH130" s="144">
        <f>IF(AQ130="0",BJ130,0)</f>
        <v>0</v>
      </c>
      <c r="AI130" s="143" t="s">
        <v>402</v>
      </c>
      <c r="AJ130" s="132">
        <f>IF(AN130=0,L130,0)</f>
        <v>0</v>
      </c>
      <c r="AK130" s="132">
        <f>IF(AN130=15,L130,0)</f>
        <v>0</v>
      </c>
      <c r="AL130" s="132">
        <f>IF(AN130=21,L130,0)</f>
        <v>0</v>
      </c>
      <c r="AN130" s="144">
        <v>21</v>
      </c>
      <c r="AO130" s="144">
        <f>K130*0</f>
        <v>0</v>
      </c>
      <c r="AP130" s="144">
        <f>K130*(1-0)</f>
        <v>0</v>
      </c>
      <c r="AQ130" s="145" t="s">
        <v>73</v>
      </c>
      <c r="AV130" s="144">
        <f>AW130+AX130</f>
        <v>0</v>
      </c>
      <c r="AW130" s="144">
        <f>J130*AO130</f>
        <v>0</v>
      </c>
      <c r="AX130" s="144">
        <f>J130*AP130</f>
        <v>0</v>
      </c>
      <c r="AY130" s="147" t="s">
        <v>403</v>
      </c>
      <c r="AZ130" s="147" t="s">
        <v>422</v>
      </c>
      <c r="BA130" s="143" t="s">
        <v>432</v>
      </c>
      <c r="BC130" s="144">
        <f>AW130+AX130</f>
        <v>0</v>
      </c>
      <c r="BD130" s="144">
        <f>K130/(100-BE130)*100</f>
        <v>0</v>
      </c>
      <c r="BE130" s="144">
        <v>0</v>
      </c>
      <c r="BF130" s="144">
        <f>130</f>
        <v>130</v>
      </c>
      <c r="BH130" s="132">
        <f>J130*AO130</f>
        <v>0</v>
      </c>
      <c r="BI130" s="132">
        <f>J130*AP130</f>
        <v>0</v>
      </c>
      <c r="BJ130" s="132">
        <f>J130*K130</f>
        <v>0</v>
      </c>
      <c r="BK130" s="132" t="s">
        <v>437</v>
      </c>
      <c r="BL130" s="144">
        <v>1</v>
      </c>
    </row>
    <row r="131" spans="1:13" ht="12.75" customHeight="1">
      <c r="A131" s="55"/>
      <c r="B131" s="107" t="s">
        <v>186</v>
      </c>
      <c r="C131" s="114" t="s">
        <v>253</v>
      </c>
      <c r="D131" s="122"/>
      <c r="E131" s="122"/>
      <c r="F131" s="122"/>
      <c r="G131" s="122"/>
      <c r="H131" s="122"/>
      <c r="I131" s="122"/>
      <c r="J131" s="122"/>
      <c r="K131" s="122"/>
      <c r="L131" s="142"/>
      <c r="M131" s="55"/>
    </row>
    <row r="132" spans="1:64" ht="12" customHeight="1">
      <c r="A132" s="96" t="s">
        <v>128</v>
      </c>
      <c r="B132" s="106" t="s">
        <v>187</v>
      </c>
      <c r="C132" s="106" t="s">
        <v>254</v>
      </c>
      <c r="D132" s="120"/>
      <c r="E132" s="120"/>
      <c r="F132" s="120"/>
      <c r="G132" s="120"/>
      <c r="H132" s="120"/>
      <c r="I132" s="106" t="s">
        <v>380</v>
      </c>
      <c r="J132" s="132">
        <v>2.0016</v>
      </c>
      <c r="K132" s="132">
        <v>0</v>
      </c>
      <c r="L132" s="151">
        <f>J132*K132</f>
        <v>0</v>
      </c>
      <c r="M132" s="55"/>
      <c r="Z132" s="144">
        <f>IF(AQ132="5",BJ132,0)</f>
        <v>0</v>
      </c>
      <c r="AB132" s="144">
        <f>IF(AQ132="1",BH132,0)</f>
        <v>0</v>
      </c>
      <c r="AC132" s="144">
        <f>IF(AQ132="1",BI132,0)</f>
        <v>0</v>
      </c>
      <c r="AD132" s="144">
        <f>IF(AQ132="7",BH132,0)</f>
        <v>0</v>
      </c>
      <c r="AE132" s="144">
        <f>IF(AQ132="7",BI132,0)</f>
        <v>0</v>
      </c>
      <c r="AF132" s="144">
        <f>IF(AQ132="2",BH132,0)</f>
        <v>0</v>
      </c>
      <c r="AG132" s="144">
        <f>IF(AQ132="2",BI132,0)</f>
        <v>0</v>
      </c>
      <c r="AH132" s="144">
        <f>IF(AQ132="0",BJ132,0)</f>
        <v>0</v>
      </c>
      <c r="AI132" s="143" t="s">
        <v>402</v>
      </c>
      <c r="AJ132" s="132">
        <f>IF(AN132=0,L132,0)</f>
        <v>0</v>
      </c>
      <c r="AK132" s="132">
        <f>IF(AN132=15,L132,0)</f>
        <v>0</v>
      </c>
      <c r="AL132" s="132">
        <f>IF(AN132=21,L132,0)</f>
        <v>0</v>
      </c>
      <c r="AN132" s="144">
        <v>21</v>
      </c>
      <c r="AO132" s="144">
        <f>K132*0</f>
        <v>0</v>
      </c>
      <c r="AP132" s="144">
        <f>K132*(1-0)</f>
        <v>0</v>
      </c>
      <c r="AQ132" s="145" t="s">
        <v>73</v>
      </c>
      <c r="AV132" s="144">
        <f>AW132+AX132</f>
        <v>0</v>
      </c>
      <c r="AW132" s="144">
        <f>J132*AO132</f>
        <v>0</v>
      </c>
      <c r="AX132" s="144">
        <f>J132*AP132</f>
        <v>0</v>
      </c>
      <c r="AY132" s="147" t="s">
        <v>403</v>
      </c>
      <c r="AZ132" s="147" t="s">
        <v>422</v>
      </c>
      <c r="BA132" s="143" t="s">
        <v>432</v>
      </c>
      <c r="BC132" s="144">
        <f>AW132+AX132</f>
        <v>0</v>
      </c>
      <c r="BD132" s="144">
        <f>K132/(100-BE132)*100</f>
        <v>0</v>
      </c>
      <c r="BE132" s="144">
        <v>0</v>
      </c>
      <c r="BF132" s="144">
        <f>132</f>
        <v>132</v>
      </c>
      <c r="BH132" s="132">
        <f>J132*AO132</f>
        <v>0</v>
      </c>
      <c r="BI132" s="132">
        <f>J132*AP132</f>
        <v>0</v>
      </c>
      <c r="BJ132" s="132">
        <f>J132*K132</f>
        <v>0</v>
      </c>
      <c r="BK132" s="132" t="s">
        <v>437</v>
      </c>
      <c r="BL132" s="144">
        <v>1</v>
      </c>
    </row>
    <row r="133" spans="1:13" ht="12.75" customHeight="1">
      <c r="A133" s="55"/>
      <c r="B133" s="107" t="s">
        <v>186</v>
      </c>
      <c r="C133" s="114" t="s">
        <v>255</v>
      </c>
      <c r="D133" s="122"/>
      <c r="E133" s="122"/>
      <c r="F133" s="122"/>
      <c r="G133" s="122"/>
      <c r="H133" s="122"/>
      <c r="I133" s="122"/>
      <c r="J133" s="122"/>
      <c r="K133" s="122"/>
      <c r="L133" s="142"/>
      <c r="M133" s="55"/>
    </row>
    <row r="134" spans="1:13" ht="25.5" customHeight="1">
      <c r="A134" s="55"/>
      <c r="B134" s="107" t="s">
        <v>184</v>
      </c>
      <c r="C134" s="113" t="s">
        <v>256</v>
      </c>
      <c r="D134" s="121"/>
      <c r="E134" s="121"/>
      <c r="F134" s="121"/>
      <c r="G134" s="121"/>
      <c r="H134" s="121"/>
      <c r="I134" s="121"/>
      <c r="J134" s="121"/>
      <c r="K134" s="121"/>
      <c r="L134" s="141"/>
      <c r="M134" s="55"/>
    </row>
    <row r="135" spans="1:64" ht="12" customHeight="1">
      <c r="A135" s="96" t="s">
        <v>129</v>
      </c>
      <c r="B135" s="106" t="s">
        <v>188</v>
      </c>
      <c r="C135" s="106" t="s">
        <v>257</v>
      </c>
      <c r="D135" s="120"/>
      <c r="E135" s="120"/>
      <c r="F135" s="120"/>
      <c r="G135" s="120"/>
      <c r="H135" s="120"/>
      <c r="I135" s="106" t="s">
        <v>379</v>
      </c>
      <c r="J135" s="132">
        <v>31.275</v>
      </c>
      <c r="K135" s="132">
        <v>0</v>
      </c>
      <c r="L135" s="151">
        <f>J135*K135</f>
        <v>0</v>
      </c>
      <c r="M135" s="55"/>
      <c r="Z135" s="144">
        <f>IF(AQ135="5",BJ135,0)</f>
        <v>0</v>
      </c>
      <c r="AB135" s="144">
        <f>IF(AQ135="1",BH135,0)</f>
        <v>0</v>
      </c>
      <c r="AC135" s="144">
        <f>IF(AQ135="1",BI135,0)</f>
        <v>0</v>
      </c>
      <c r="AD135" s="144">
        <f>IF(AQ135="7",BH135,0)</f>
        <v>0</v>
      </c>
      <c r="AE135" s="144">
        <f>IF(AQ135="7",BI135,0)</f>
        <v>0</v>
      </c>
      <c r="AF135" s="144">
        <f>IF(AQ135="2",BH135,0)</f>
        <v>0</v>
      </c>
      <c r="AG135" s="144">
        <f>IF(AQ135="2",BI135,0)</f>
        <v>0</v>
      </c>
      <c r="AH135" s="144">
        <f>IF(AQ135="0",BJ135,0)</f>
        <v>0</v>
      </c>
      <c r="AI135" s="143" t="s">
        <v>402</v>
      </c>
      <c r="AJ135" s="132">
        <f>IF(AN135=0,L135,0)</f>
        <v>0</v>
      </c>
      <c r="AK135" s="132">
        <f>IF(AN135=15,L135,0)</f>
        <v>0</v>
      </c>
      <c r="AL135" s="132">
        <f>IF(AN135=21,L135,0)</f>
        <v>0</v>
      </c>
      <c r="AN135" s="144">
        <v>21</v>
      </c>
      <c r="AO135" s="144">
        <f>K135*0</f>
        <v>0</v>
      </c>
      <c r="AP135" s="144">
        <f>K135*(1-0)</f>
        <v>0</v>
      </c>
      <c r="AQ135" s="145" t="s">
        <v>73</v>
      </c>
      <c r="AV135" s="144">
        <f>AW135+AX135</f>
        <v>0</v>
      </c>
      <c r="AW135" s="144">
        <f>J135*AO135</f>
        <v>0</v>
      </c>
      <c r="AX135" s="144">
        <f>J135*AP135</f>
        <v>0</v>
      </c>
      <c r="AY135" s="147" t="s">
        <v>403</v>
      </c>
      <c r="AZ135" s="147" t="s">
        <v>422</v>
      </c>
      <c r="BA135" s="143" t="s">
        <v>432</v>
      </c>
      <c r="BC135" s="144">
        <f>AW135+AX135</f>
        <v>0</v>
      </c>
      <c r="BD135" s="144">
        <f>K135/(100-BE135)*100</f>
        <v>0</v>
      </c>
      <c r="BE135" s="144">
        <v>0</v>
      </c>
      <c r="BF135" s="144">
        <f>135</f>
        <v>135</v>
      </c>
      <c r="BH135" s="132">
        <f>J135*AO135</f>
        <v>0</v>
      </c>
      <c r="BI135" s="132">
        <f>J135*AP135</f>
        <v>0</v>
      </c>
      <c r="BJ135" s="132">
        <f>J135*K135</f>
        <v>0</v>
      </c>
      <c r="BK135" s="132" t="s">
        <v>437</v>
      </c>
      <c r="BL135" s="144">
        <v>1</v>
      </c>
    </row>
    <row r="136" spans="1:64" ht="12" customHeight="1">
      <c r="A136" s="96" t="s">
        <v>130</v>
      </c>
      <c r="B136" s="106" t="s">
        <v>240</v>
      </c>
      <c r="C136" s="106" t="s">
        <v>363</v>
      </c>
      <c r="D136" s="120"/>
      <c r="E136" s="120"/>
      <c r="F136" s="120"/>
      <c r="G136" s="120"/>
      <c r="H136" s="120"/>
      <c r="I136" s="106" t="s">
        <v>381</v>
      </c>
      <c r="J136" s="132">
        <v>10</v>
      </c>
      <c r="K136" s="132">
        <v>0</v>
      </c>
      <c r="L136" s="151">
        <f>J136*K136</f>
        <v>0</v>
      </c>
      <c r="M136" s="55"/>
      <c r="Z136" s="144">
        <f>IF(AQ136="5",BJ136,0)</f>
        <v>0</v>
      </c>
      <c r="AB136" s="144">
        <f>IF(AQ136="1",BH136,0)</f>
        <v>0</v>
      </c>
      <c r="AC136" s="144">
        <f>IF(AQ136="1",BI136,0)</f>
        <v>0</v>
      </c>
      <c r="AD136" s="144">
        <f>IF(AQ136="7",BH136,0)</f>
        <v>0</v>
      </c>
      <c r="AE136" s="144">
        <f>IF(AQ136="7",BI136,0)</f>
        <v>0</v>
      </c>
      <c r="AF136" s="144">
        <f>IF(AQ136="2",BH136,0)</f>
        <v>0</v>
      </c>
      <c r="AG136" s="144">
        <f>IF(AQ136="2",BI136,0)</f>
        <v>0</v>
      </c>
      <c r="AH136" s="144">
        <f>IF(AQ136="0",BJ136,0)</f>
        <v>0</v>
      </c>
      <c r="AI136" s="143" t="s">
        <v>402</v>
      </c>
      <c r="AJ136" s="132">
        <f>IF(AN136=0,L136,0)</f>
        <v>0</v>
      </c>
      <c r="AK136" s="132">
        <f>IF(AN136=15,L136,0)</f>
        <v>0</v>
      </c>
      <c r="AL136" s="132">
        <f>IF(AN136=21,L136,0)</f>
        <v>0</v>
      </c>
      <c r="AN136" s="144">
        <v>21</v>
      </c>
      <c r="AO136" s="144">
        <f>K136*0</f>
        <v>0</v>
      </c>
      <c r="AP136" s="144">
        <f>K136*(1-0)</f>
        <v>0</v>
      </c>
      <c r="AQ136" s="145" t="s">
        <v>73</v>
      </c>
      <c r="AV136" s="144">
        <f>AW136+AX136</f>
        <v>0</v>
      </c>
      <c r="AW136" s="144">
        <f>J136*AO136</f>
        <v>0</v>
      </c>
      <c r="AX136" s="144">
        <f>J136*AP136</f>
        <v>0</v>
      </c>
      <c r="AY136" s="147" t="s">
        <v>403</v>
      </c>
      <c r="AZ136" s="147" t="s">
        <v>422</v>
      </c>
      <c r="BA136" s="143" t="s">
        <v>432</v>
      </c>
      <c r="BC136" s="144">
        <f>AW136+AX136</f>
        <v>0</v>
      </c>
      <c r="BD136" s="144">
        <f>K136/(100-BE136)*100</f>
        <v>0</v>
      </c>
      <c r="BE136" s="144">
        <v>0</v>
      </c>
      <c r="BF136" s="144">
        <f>136</f>
        <v>136</v>
      </c>
      <c r="BH136" s="132">
        <f>J136*AO136</f>
        <v>0</v>
      </c>
      <c r="BI136" s="132">
        <f>J136*AP136</f>
        <v>0</v>
      </c>
      <c r="BJ136" s="132">
        <f>J136*K136</f>
        <v>0</v>
      </c>
      <c r="BK136" s="132" t="s">
        <v>437</v>
      </c>
      <c r="BL136" s="144">
        <v>1</v>
      </c>
    </row>
    <row r="137" spans="1:13" ht="12.75" customHeight="1">
      <c r="A137" s="55"/>
      <c r="B137" s="107" t="s">
        <v>186</v>
      </c>
      <c r="C137" s="114" t="s">
        <v>364</v>
      </c>
      <c r="D137" s="122"/>
      <c r="E137" s="122"/>
      <c r="F137" s="122"/>
      <c r="G137" s="122"/>
      <c r="H137" s="122"/>
      <c r="I137" s="122"/>
      <c r="J137" s="122"/>
      <c r="K137" s="122"/>
      <c r="L137" s="142"/>
      <c r="M137" s="55"/>
    </row>
    <row r="138" spans="1:64" ht="12" customHeight="1">
      <c r="A138" s="96" t="s">
        <v>131</v>
      </c>
      <c r="B138" s="106" t="s">
        <v>241</v>
      </c>
      <c r="C138" s="106" t="s">
        <v>365</v>
      </c>
      <c r="D138" s="120"/>
      <c r="E138" s="120"/>
      <c r="F138" s="120"/>
      <c r="G138" s="120"/>
      <c r="H138" s="120"/>
      <c r="I138" s="106" t="s">
        <v>380</v>
      </c>
      <c r="J138" s="132">
        <v>0.5</v>
      </c>
      <c r="K138" s="132">
        <v>0</v>
      </c>
      <c r="L138" s="151">
        <f>J138*K138</f>
        <v>0</v>
      </c>
      <c r="M138" s="55"/>
      <c r="Z138" s="144">
        <f>IF(AQ138="5",BJ138,0)</f>
        <v>0</v>
      </c>
      <c r="AB138" s="144">
        <f>IF(AQ138="1",BH138,0)</f>
        <v>0</v>
      </c>
      <c r="AC138" s="144">
        <f>IF(AQ138="1",BI138,0)</f>
        <v>0</v>
      </c>
      <c r="AD138" s="144">
        <f>IF(AQ138="7",BH138,0)</f>
        <v>0</v>
      </c>
      <c r="AE138" s="144">
        <f>IF(AQ138="7",BI138,0)</f>
        <v>0</v>
      </c>
      <c r="AF138" s="144">
        <f>IF(AQ138="2",BH138,0)</f>
        <v>0</v>
      </c>
      <c r="AG138" s="144">
        <f>IF(AQ138="2",BI138,0)</f>
        <v>0</v>
      </c>
      <c r="AH138" s="144">
        <f>IF(AQ138="0",BJ138,0)</f>
        <v>0</v>
      </c>
      <c r="AI138" s="143" t="s">
        <v>402</v>
      </c>
      <c r="AJ138" s="132">
        <f>IF(AN138=0,L138,0)</f>
        <v>0</v>
      </c>
      <c r="AK138" s="132">
        <f>IF(AN138=15,L138,0)</f>
        <v>0</v>
      </c>
      <c r="AL138" s="132">
        <f>IF(AN138=21,L138,0)</f>
        <v>0</v>
      </c>
      <c r="AN138" s="144">
        <v>21</v>
      </c>
      <c r="AO138" s="144">
        <f>K138*0</f>
        <v>0</v>
      </c>
      <c r="AP138" s="144">
        <f>K138*(1-0)</f>
        <v>0</v>
      </c>
      <c r="AQ138" s="145" t="s">
        <v>74</v>
      </c>
      <c r="AV138" s="144">
        <f>AW138+AX138</f>
        <v>0</v>
      </c>
      <c r="AW138" s="144">
        <f>J138*AO138</f>
        <v>0</v>
      </c>
      <c r="AX138" s="144">
        <f>J138*AP138</f>
        <v>0</v>
      </c>
      <c r="AY138" s="147" t="s">
        <v>403</v>
      </c>
      <c r="AZ138" s="147" t="s">
        <v>422</v>
      </c>
      <c r="BA138" s="143" t="s">
        <v>432</v>
      </c>
      <c r="BC138" s="144">
        <f>AW138+AX138</f>
        <v>0</v>
      </c>
      <c r="BD138" s="144">
        <f>K138/(100-BE138)*100</f>
        <v>0</v>
      </c>
      <c r="BE138" s="144">
        <v>0</v>
      </c>
      <c r="BF138" s="144">
        <f>138</f>
        <v>138</v>
      </c>
      <c r="BH138" s="132">
        <f>J138*AO138</f>
        <v>0</v>
      </c>
      <c r="BI138" s="132">
        <f>J138*AP138</f>
        <v>0</v>
      </c>
      <c r="BJ138" s="132">
        <f>J138*K138</f>
        <v>0</v>
      </c>
      <c r="BK138" s="132" t="s">
        <v>437</v>
      </c>
      <c r="BL138" s="144">
        <v>1</v>
      </c>
    </row>
    <row r="139" spans="1:13" ht="12.75" customHeight="1">
      <c r="A139" s="55"/>
      <c r="B139" s="107" t="s">
        <v>186</v>
      </c>
      <c r="C139" s="114" t="s">
        <v>366</v>
      </c>
      <c r="D139" s="122"/>
      <c r="E139" s="122"/>
      <c r="F139" s="122"/>
      <c r="G139" s="122"/>
      <c r="H139" s="122"/>
      <c r="I139" s="122"/>
      <c r="J139" s="122"/>
      <c r="K139" s="122"/>
      <c r="L139" s="142"/>
      <c r="M139" s="55"/>
    </row>
    <row r="140" spans="1:64" ht="12" customHeight="1">
      <c r="A140" s="96" t="s">
        <v>132</v>
      </c>
      <c r="B140" s="106" t="s">
        <v>189</v>
      </c>
      <c r="C140" s="106" t="s">
        <v>258</v>
      </c>
      <c r="D140" s="120"/>
      <c r="E140" s="120"/>
      <c r="F140" s="120"/>
      <c r="G140" s="120"/>
      <c r="H140" s="120"/>
      <c r="I140" s="106" t="s">
        <v>381</v>
      </c>
      <c r="J140" s="132">
        <v>5</v>
      </c>
      <c r="K140" s="132">
        <v>0</v>
      </c>
      <c r="L140" s="151">
        <f>J140*K140</f>
        <v>0</v>
      </c>
      <c r="M140" s="55"/>
      <c r="Z140" s="144">
        <f>IF(AQ140="5",BJ140,0)</f>
        <v>0</v>
      </c>
      <c r="AB140" s="144">
        <f>IF(AQ140="1",BH140,0)</f>
        <v>0</v>
      </c>
      <c r="AC140" s="144">
        <f>IF(AQ140="1",BI140,0)</f>
        <v>0</v>
      </c>
      <c r="AD140" s="144">
        <f>IF(AQ140="7",BH140,0)</f>
        <v>0</v>
      </c>
      <c r="AE140" s="144">
        <f>IF(AQ140="7",BI140,0)</f>
        <v>0</v>
      </c>
      <c r="AF140" s="144">
        <f>IF(AQ140="2",BH140,0)</f>
        <v>0</v>
      </c>
      <c r="AG140" s="144">
        <f>IF(AQ140="2",BI140,0)</f>
        <v>0</v>
      </c>
      <c r="AH140" s="144">
        <f>IF(AQ140="0",BJ140,0)</f>
        <v>0</v>
      </c>
      <c r="AI140" s="143" t="s">
        <v>402</v>
      </c>
      <c r="AJ140" s="132">
        <f>IF(AN140=0,L140,0)</f>
        <v>0</v>
      </c>
      <c r="AK140" s="132">
        <f>IF(AN140=15,L140,0)</f>
        <v>0</v>
      </c>
      <c r="AL140" s="132">
        <f>IF(AN140=21,L140,0)</f>
        <v>0</v>
      </c>
      <c r="AN140" s="144">
        <v>21</v>
      </c>
      <c r="AO140" s="144">
        <f>K140*0.157280929487179</f>
        <v>0</v>
      </c>
      <c r="AP140" s="144">
        <f>K140*(1-0.157280929487179)</f>
        <v>0</v>
      </c>
      <c r="AQ140" s="145" t="s">
        <v>73</v>
      </c>
      <c r="AV140" s="144">
        <f>AW140+AX140</f>
        <v>0</v>
      </c>
      <c r="AW140" s="144">
        <f>J140*AO140</f>
        <v>0</v>
      </c>
      <c r="AX140" s="144">
        <f>J140*AP140</f>
        <v>0</v>
      </c>
      <c r="AY140" s="147" t="s">
        <v>403</v>
      </c>
      <c r="AZ140" s="147" t="s">
        <v>422</v>
      </c>
      <c r="BA140" s="143" t="s">
        <v>432</v>
      </c>
      <c r="BC140" s="144">
        <f>AW140+AX140</f>
        <v>0</v>
      </c>
      <c r="BD140" s="144">
        <f>K140/(100-BE140)*100</f>
        <v>0</v>
      </c>
      <c r="BE140" s="144">
        <v>0</v>
      </c>
      <c r="BF140" s="144">
        <f>140</f>
        <v>140</v>
      </c>
      <c r="BH140" s="132">
        <f>J140*AO140</f>
        <v>0</v>
      </c>
      <c r="BI140" s="132">
        <f>J140*AP140</f>
        <v>0</v>
      </c>
      <c r="BJ140" s="132">
        <f>J140*K140</f>
        <v>0</v>
      </c>
      <c r="BK140" s="132" t="s">
        <v>437</v>
      </c>
      <c r="BL140" s="144">
        <v>1</v>
      </c>
    </row>
    <row r="141" spans="1:13" ht="12.75" customHeight="1">
      <c r="A141" s="55"/>
      <c r="B141" s="107" t="s">
        <v>186</v>
      </c>
      <c r="C141" s="114" t="s">
        <v>259</v>
      </c>
      <c r="D141" s="122"/>
      <c r="E141" s="122"/>
      <c r="F141" s="122"/>
      <c r="G141" s="122"/>
      <c r="H141" s="122"/>
      <c r="I141" s="122"/>
      <c r="J141" s="122"/>
      <c r="K141" s="122"/>
      <c r="L141" s="142"/>
      <c r="M141" s="55"/>
    </row>
    <row r="142" spans="1:64" ht="12" customHeight="1">
      <c r="A142" s="96" t="s">
        <v>133</v>
      </c>
      <c r="B142" s="106" t="s">
        <v>190</v>
      </c>
      <c r="C142" s="106" t="s">
        <v>260</v>
      </c>
      <c r="D142" s="120"/>
      <c r="E142" s="120"/>
      <c r="F142" s="120"/>
      <c r="G142" s="120"/>
      <c r="H142" s="120"/>
      <c r="I142" s="106" t="s">
        <v>380</v>
      </c>
      <c r="J142" s="132">
        <v>1</v>
      </c>
      <c r="K142" s="132">
        <v>0</v>
      </c>
      <c r="L142" s="151">
        <f>J142*K142</f>
        <v>0</v>
      </c>
      <c r="M142" s="55"/>
      <c r="Z142" s="144">
        <f>IF(AQ142="5",BJ142,0)</f>
        <v>0</v>
      </c>
      <c r="AB142" s="144">
        <f>IF(AQ142="1",BH142,0)</f>
        <v>0</v>
      </c>
      <c r="AC142" s="144">
        <f>IF(AQ142="1",BI142,0)</f>
        <v>0</v>
      </c>
      <c r="AD142" s="144">
        <f>IF(AQ142="7",BH142,0)</f>
        <v>0</v>
      </c>
      <c r="AE142" s="144">
        <f>IF(AQ142="7",BI142,0)</f>
        <v>0</v>
      </c>
      <c r="AF142" s="144">
        <f>IF(AQ142="2",BH142,0)</f>
        <v>0</v>
      </c>
      <c r="AG142" s="144">
        <f>IF(AQ142="2",BI142,0)</f>
        <v>0</v>
      </c>
      <c r="AH142" s="144">
        <f>IF(AQ142="0",BJ142,0)</f>
        <v>0</v>
      </c>
      <c r="AI142" s="143" t="s">
        <v>402</v>
      </c>
      <c r="AJ142" s="132">
        <f>IF(AN142=0,L142,0)</f>
        <v>0</v>
      </c>
      <c r="AK142" s="132">
        <f>IF(AN142=15,L142,0)</f>
        <v>0</v>
      </c>
      <c r="AL142" s="132">
        <f>IF(AN142=21,L142,0)</f>
        <v>0</v>
      </c>
      <c r="AN142" s="144">
        <v>21</v>
      </c>
      <c r="AO142" s="144">
        <f>K142*0</f>
        <v>0</v>
      </c>
      <c r="AP142" s="144">
        <f>K142*(1-0)</f>
        <v>0</v>
      </c>
      <c r="AQ142" s="145" t="s">
        <v>73</v>
      </c>
      <c r="AV142" s="144">
        <f>AW142+AX142</f>
        <v>0</v>
      </c>
      <c r="AW142" s="144">
        <f>J142*AO142</f>
        <v>0</v>
      </c>
      <c r="AX142" s="144">
        <f>J142*AP142</f>
        <v>0</v>
      </c>
      <c r="AY142" s="147" t="s">
        <v>403</v>
      </c>
      <c r="AZ142" s="147" t="s">
        <v>422</v>
      </c>
      <c r="BA142" s="143" t="s">
        <v>432</v>
      </c>
      <c r="BC142" s="144">
        <f>AW142+AX142</f>
        <v>0</v>
      </c>
      <c r="BD142" s="144">
        <f>K142/(100-BE142)*100</f>
        <v>0</v>
      </c>
      <c r="BE142" s="144">
        <v>0</v>
      </c>
      <c r="BF142" s="144">
        <f>142</f>
        <v>142</v>
      </c>
      <c r="BH142" s="132">
        <f>J142*AO142</f>
        <v>0</v>
      </c>
      <c r="BI142" s="132">
        <f>J142*AP142</f>
        <v>0</v>
      </c>
      <c r="BJ142" s="132">
        <f>J142*K142</f>
        <v>0</v>
      </c>
      <c r="BK142" s="132" t="s">
        <v>437</v>
      </c>
      <c r="BL142" s="144">
        <v>1</v>
      </c>
    </row>
    <row r="143" spans="1:13" ht="12.75" customHeight="1">
      <c r="A143" s="55"/>
      <c r="B143" s="107" t="s">
        <v>186</v>
      </c>
      <c r="C143" s="114" t="s">
        <v>261</v>
      </c>
      <c r="D143" s="122"/>
      <c r="E143" s="122"/>
      <c r="F143" s="122"/>
      <c r="G143" s="122"/>
      <c r="H143" s="122"/>
      <c r="I143" s="122"/>
      <c r="J143" s="122"/>
      <c r="K143" s="122"/>
      <c r="L143" s="142"/>
      <c r="M143" s="55"/>
    </row>
    <row r="144" spans="1:13" ht="25.5" customHeight="1">
      <c r="A144" s="55"/>
      <c r="B144" s="107" t="s">
        <v>184</v>
      </c>
      <c r="C144" s="113" t="s">
        <v>262</v>
      </c>
      <c r="D144" s="121"/>
      <c r="E144" s="121"/>
      <c r="F144" s="121"/>
      <c r="G144" s="121"/>
      <c r="H144" s="121"/>
      <c r="I144" s="121"/>
      <c r="J144" s="121"/>
      <c r="K144" s="121"/>
      <c r="L144" s="141"/>
      <c r="M144" s="55"/>
    </row>
    <row r="145" spans="1:64" ht="12" customHeight="1">
      <c r="A145" s="96" t="s">
        <v>134</v>
      </c>
      <c r="B145" s="106" t="s">
        <v>191</v>
      </c>
      <c r="C145" s="106" t="s">
        <v>263</v>
      </c>
      <c r="D145" s="120"/>
      <c r="E145" s="120"/>
      <c r="F145" s="120"/>
      <c r="G145" s="120"/>
      <c r="H145" s="120"/>
      <c r="I145" s="106" t="s">
        <v>381</v>
      </c>
      <c r="J145" s="132">
        <v>3</v>
      </c>
      <c r="K145" s="132">
        <v>0</v>
      </c>
      <c r="L145" s="151">
        <f>J145*K145</f>
        <v>0</v>
      </c>
      <c r="M145" s="55"/>
      <c r="Z145" s="144">
        <f>IF(AQ145="5",BJ145,0)</f>
        <v>0</v>
      </c>
      <c r="AB145" s="144">
        <f>IF(AQ145="1",BH145,0)</f>
        <v>0</v>
      </c>
      <c r="AC145" s="144">
        <f>IF(AQ145="1",BI145,0)</f>
        <v>0</v>
      </c>
      <c r="AD145" s="144">
        <f>IF(AQ145="7",BH145,0)</f>
        <v>0</v>
      </c>
      <c r="AE145" s="144">
        <f>IF(AQ145="7",BI145,0)</f>
        <v>0</v>
      </c>
      <c r="AF145" s="144">
        <f>IF(AQ145="2",BH145,0)</f>
        <v>0</v>
      </c>
      <c r="AG145" s="144">
        <f>IF(AQ145="2",BI145,0)</f>
        <v>0</v>
      </c>
      <c r="AH145" s="144">
        <f>IF(AQ145="0",BJ145,0)</f>
        <v>0</v>
      </c>
      <c r="AI145" s="143" t="s">
        <v>402</v>
      </c>
      <c r="AJ145" s="132">
        <f>IF(AN145=0,L145,0)</f>
        <v>0</v>
      </c>
      <c r="AK145" s="132">
        <f>IF(AN145=15,L145,0)</f>
        <v>0</v>
      </c>
      <c r="AL145" s="132">
        <f>IF(AN145=21,L145,0)</f>
        <v>0</v>
      </c>
      <c r="AN145" s="144">
        <v>21</v>
      </c>
      <c r="AO145" s="144">
        <f>K145*0.187149168096521</f>
        <v>0</v>
      </c>
      <c r="AP145" s="144">
        <f>K145*(1-0.187149168096521)</f>
        <v>0</v>
      </c>
      <c r="AQ145" s="145" t="s">
        <v>73</v>
      </c>
      <c r="AV145" s="144">
        <f>AW145+AX145</f>
        <v>0</v>
      </c>
      <c r="AW145" s="144">
        <f>J145*AO145</f>
        <v>0</v>
      </c>
      <c r="AX145" s="144">
        <f>J145*AP145</f>
        <v>0</v>
      </c>
      <c r="AY145" s="147" t="s">
        <v>403</v>
      </c>
      <c r="AZ145" s="147" t="s">
        <v>422</v>
      </c>
      <c r="BA145" s="143" t="s">
        <v>432</v>
      </c>
      <c r="BC145" s="144">
        <f>AW145+AX145</f>
        <v>0</v>
      </c>
      <c r="BD145" s="144">
        <f>K145/(100-BE145)*100</f>
        <v>0</v>
      </c>
      <c r="BE145" s="144">
        <v>0</v>
      </c>
      <c r="BF145" s="144">
        <f>145</f>
        <v>145</v>
      </c>
      <c r="BH145" s="132">
        <f>J145*AO145</f>
        <v>0</v>
      </c>
      <c r="BI145" s="132">
        <f>J145*AP145</f>
        <v>0</v>
      </c>
      <c r="BJ145" s="132">
        <f>J145*K145</f>
        <v>0</v>
      </c>
      <c r="BK145" s="132" t="s">
        <v>437</v>
      </c>
      <c r="BL145" s="144">
        <v>1</v>
      </c>
    </row>
    <row r="146" spans="1:13" ht="12.75" customHeight="1">
      <c r="A146" s="55"/>
      <c r="B146" s="107" t="s">
        <v>186</v>
      </c>
      <c r="C146" s="114" t="s">
        <v>264</v>
      </c>
      <c r="D146" s="122"/>
      <c r="E146" s="122"/>
      <c r="F146" s="122"/>
      <c r="G146" s="122"/>
      <c r="H146" s="122"/>
      <c r="I146" s="122"/>
      <c r="J146" s="122"/>
      <c r="K146" s="122"/>
      <c r="L146" s="142"/>
      <c r="M146" s="55"/>
    </row>
    <row r="147" spans="1:64" ht="12" customHeight="1">
      <c r="A147" s="96" t="s">
        <v>135</v>
      </c>
      <c r="B147" s="106" t="s">
        <v>192</v>
      </c>
      <c r="C147" s="106" t="s">
        <v>265</v>
      </c>
      <c r="D147" s="120"/>
      <c r="E147" s="120"/>
      <c r="F147" s="120"/>
      <c r="G147" s="120"/>
      <c r="H147" s="120"/>
      <c r="I147" s="106" t="s">
        <v>380</v>
      </c>
      <c r="J147" s="132">
        <v>0.75</v>
      </c>
      <c r="K147" s="132">
        <v>0</v>
      </c>
      <c r="L147" s="151">
        <f>J147*K147</f>
        <v>0</v>
      </c>
      <c r="M147" s="55"/>
      <c r="Z147" s="144">
        <f>IF(AQ147="5",BJ147,0)</f>
        <v>0</v>
      </c>
      <c r="AB147" s="144">
        <f>IF(AQ147="1",BH147,0)</f>
        <v>0</v>
      </c>
      <c r="AC147" s="144">
        <f>IF(AQ147="1",BI147,0)</f>
        <v>0</v>
      </c>
      <c r="AD147" s="144">
        <f>IF(AQ147="7",BH147,0)</f>
        <v>0</v>
      </c>
      <c r="AE147" s="144">
        <f>IF(AQ147="7",BI147,0)</f>
        <v>0</v>
      </c>
      <c r="AF147" s="144">
        <f>IF(AQ147="2",BH147,0)</f>
        <v>0</v>
      </c>
      <c r="AG147" s="144">
        <f>IF(AQ147="2",BI147,0)</f>
        <v>0</v>
      </c>
      <c r="AH147" s="144">
        <f>IF(AQ147="0",BJ147,0)</f>
        <v>0</v>
      </c>
      <c r="AI147" s="143" t="s">
        <v>402</v>
      </c>
      <c r="AJ147" s="132">
        <f>IF(AN147=0,L147,0)</f>
        <v>0</v>
      </c>
      <c r="AK147" s="132">
        <f>IF(AN147=15,L147,0)</f>
        <v>0</v>
      </c>
      <c r="AL147" s="132">
        <f>IF(AN147=21,L147,0)</f>
        <v>0</v>
      </c>
      <c r="AN147" s="144">
        <v>21</v>
      </c>
      <c r="AO147" s="144">
        <f>K147*0</f>
        <v>0</v>
      </c>
      <c r="AP147" s="144">
        <f>K147*(1-0)</f>
        <v>0</v>
      </c>
      <c r="AQ147" s="145" t="s">
        <v>73</v>
      </c>
      <c r="AV147" s="144">
        <f>AW147+AX147</f>
        <v>0</v>
      </c>
      <c r="AW147" s="144">
        <f>J147*AO147</f>
        <v>0</v>
      </c>
      <c r="AX147" s="144">
        <f>J147*AP147</f>
        <v>0</v>
      </c>
      <c r="AY147" s="147" t="s">
        <v>403</v>
      </c>
      <c r="AZ147" s="147" t="s">
        <v>422</v>
      </c>
      <c r="BA147" s="143" t="s">
        <v>432</v>
      </c>
      <c r="BC147" s="144">
        <f>AW147+AX147</f>
        <v>0</v>
      </c>
      <c r="BD147" s="144">
        <f>K147/(100-BE147)*100</f>
        <v>0</v>
      </c>
      <c r="BE147" s="144">
        <v>0</v>
      </c>
      <c r="BF147" s="144">
        <f>147</f>
        <v>147</v>
      </c>
      <c r="BH147" s="132">
        <f>J147*AO147</f>
        <v>0</v>
      </c>
      <c r="BI147" s="132">
        <f>J147*AP147</f>
        <v>0</v>
      </c>
      <c r="BJ147" s="132">
        <f>J147*K147</f>
        <v>0</v>
      </c>
      <c r="BK147" s="132" t="s">
        <v>437</v>
      </c>
      <c r="BL147" s="144">
        <v>1</v>
      </c>
    </row>
    <row r="148" spans="1:13" ht="12.75" customHeight="1">
      <c r="A148" s="55"/>
      <c r="B148" s="107" t="s">
        <v>186</v>
      </c>
      <c r="C148" s="114" t="s">
        <v>266</v>
      </c>
      <c r="D148" s="122"/>
      <c r="E148" s="122"/>
      <c r="F148" s="122"/>
      <c r="G148" s="122"/>
      <c r="H148" s="122"/>
      <c r="I148" s="122"/>
      <c r="J148" s="122"/>
      <c r="K148" s="122"/>
      <c r="L148" s="142"/>
      <c r="M148" s="55"/>
    </row>
    <row r="149" spans="1:64" ht="12" customHeight="1">
      <c r="A149" s="96" t="s">
        <v>136</v>
      </c>
      <c r="B149" s="106" t="s">
        <v>193</v>
      </c>
      <c r="C149" s="106" t="s">
        <v>267</v>
      </c>
      <c r="D149" s="120"/>
      <c r="E149" s="120"/>
      <c r="F149" s="120"/>
      <c r="G149" s="120"/>
      <c r="H149" s="120"/>
      <c r="I149" s="106" t="s">
        <v>381</v>
      </c>
      <c r="J149" s="132">
        <v>5</v>
      </c>
      <c r="K149" s="132">
        <v>0</v>
      </c>
      <c r="L149" s="151">
        <f>J149*K149</f>
        <v>0</v>
      </c>
      <c r="M149" s="55"/>
      <c r="Z149" s="144">
        <f>IF(AQ149="5",BJ149,0)</f>
        <v>0</v>
      </c>
      <c r="AB149" s="144">
        <f>IF(AQ149="1",BH149,0)</f>
        <v>0</v>
      </c>
      <c r="AC149" s="144">
        <f>IF(AQ149="1",BI149,0)</f>
        <v>0</v>
      </c>
      <c r="AD149" s="144">
        <f>IF(AQ149="7",BH149,0)</f>
        <v>0</v>
      </c>
      <c r="AE149" s="144">
        <f>IF(AQ149="7",BI149,0)</f>
        <v>0</v>
      </c>
      <c r="AF149" s="144">
        <f>IF(AQ149="2",BH149,0)</f>
        <v>0</v>
      </c>
      <c r="AG149" s="144">
        <f>IF(AQ149="2",BI149,0)</f>
        <v>0</v>
      </c>
      <c r="AH149" s="144">
        <f>IF(AQ149="0",BJ149,0)</f>
        <v>0</v>
      </c>
      <c r="AI149" s="143" t="s">
        <v>402</v>
      </c>
      <c r="AJ149" s="132">
        <f>IF(AN149=0,L149,0)</f>
        <v>0</v>
      </c>
      <c r="AK149" s="132">
        <f>IF(AN149=15,L149,0)</f>
        <v>0</v>
      </c>
      <c r="AL149" s="132">
        <f>IF(AN149=21,L149,0)</f>
        <v>0</v>
      </c>
      <c r="AN149" s="144">
        <v>21</v>
      </c>
      <c r="AO149" s="144">
        <f>K149*0.248822742863787</f>
        <v>0</v>
      </c>
      <c r="AP149" s="144">
        <f>K149*(1-0.248822742863787)</f>
        <v>0</v>
      </c>
      <c r="AQ149" s="145" t="s">
        <v>74</v>
      </c>
      <c r="AV149" s="144">
        <f>AW149+AX149</f>
        <v>0</v>
      </c>
      <c r="AW149" s="144">
        <f>J149*AO149</f>
        <v>0</v>
      </c>
      <c r="AX149" s="144">
        <f>J149*AP149</f>
        <v>0</v>
      </c>
      <c r="AY149" s="147" t="s">
        <v>403</v>
      </c>
      <c r="AZ149" s="147" t="s">
        <v>422</v>
      </c>
      <c r="BA149" s="143" t="s">
        <v>432</v>
      </c>
      <c r="BC149" s="144">
        <f>AW149+AX149</f>
        <v>0</v>
      </c>
      <c r="BD149" s="144">
        <f>K149/(100-BE149)*100</f>
        <v>0</v>
      </c>
      <c r="BE149" s="144">
        <v>0</v>
      </c>
      <c r="BF149" s="144">
        <f>149</f>
        <v>149</v>
      </c>
      <c r="BH149" s="132">
        <f>J149*AO149</f>
        <v>0</v>
      </c>
      <c r="BI149" s="132">
        <f>J149*AP149</f>
        <v>0</v>
      </c>
      <c r="BJ149" s="132">
        <f>J149*K149</f>
        <v>0</v>
      </c>
      <c r="BK149" s="132" t="s">
        <v>437</v>
      </c>
      <c r="BL149" s="144">
        <v>1</v>
      </c>
    </row>
    <row r="150" spans="1:13" ht="25.5" customHeight="1">
      <c r="A150" s="55"/>
      <c r="B150" s="107" t="s">
        <v>186</v>
      </c>
      <c r="C150" s="114" t="s">
        <v>268</v>
      </c>
      <c r="D150" s="122"/>
      <c r="E150" s="122"/>
      <c r="F150" s="122"/>
      <c r="G150" s="122"/>
      <c r="H150" s="122"/>
      <c r="I150" s="122"/>
      <c r="J150" s="122"/>
      <c r="K150" s="122"/>
      <c r="L150" s="142"/>
      <c r="M150" s="55"/>
    </row>
    <row r="151" spans="1:64" ht="12" customHeight="1">
      <c r="A151" s="96" t="s">
        <v>137</v>
      </c>
      <c r="B151" s="106" t="s">
        <v>194</v>
      </c>
      <c r="C151" s="106" t="s">
        <v>269</v>
      </c>
      <c r="D151" s="120"/>
      <c r="E151" s="120"/>
      <c r="F151" s="120"/>
      <c r="G151" s="120"/>
      <c r="H151" s="120"/>
      <c r="I151" s="106" t="s">
        <v>379</v>
      </c>
      <c r="J151" s="132">
        <v>5</v>
      </c>
      <c r="K151" s="132">
        <v>0</v>
      </c>
      <c r="L151" s="151">
        <f>J151*K151</f>
        <v>0</v>
      </c>
      <c r="M151" s="55"/>
      <c r="Z151" s="144">
        <f>IF(AQ151="5",BJ151,0)</f>
        <v>0</v>
      </c>
      <c r="AB151" s="144">
        <f>IF(AQ151="1",BH151,0)</f>
        <v>0</v>
      </c>
      <c r="AC151" s="144">
        <f>IF(AQ151="1",BI151,0)</f>
        <v>0</v>
      </c>
      <c r="AD151" s="144">
        <f>IF(AQ151="7",BH151,0)</f>
        <v>0</v>
      </c>
      <c r="AE151" s="144">
        <f>IF(AQ151="7",BI151,0)</f>
        <v>0</v>
      </c>
      <c r="AF151" s="144">
        <f>IF(AQ151="2",BH151,0)</f>
        <v>0</v>
      </c>
      <c r="AG151" s="144">
        <f>IF(AQ151="2",BI151,0)</f>
        <v>0</v>
      </c>
      <c r="AH151" s="144">
        <f>IF(AQ151="0",BJ151,0)</f>
        <v>0</v>
      </c>
      <c r="AI151" s="143" t="s">
        <v>402</v>
      </c>
      <c r="AJ151" s="132">
        <f>IF(AN151=0,L151,0)</f>
        <v>0</v>
      </c>
      <c r="AK151" s="132">
        <f>IF(AN151=15,L151,0)</f>
        <v>0</v>
      </c>
      <c r="AL151" s="132">
        <f>IF(AN151=21,L151,0)</f>
        <v>0</v>
      </c>
      <c r="AN151" s="144">
        <v>21</v>
      </c>
      <c r="AO151" s="144">
        <f>K151*0</f>
        <v>0</v>
      </c>
      <c r="AP151" s="144">
        <f>K151*(1-0)</f>
        <v>0</v>
      </c>
      <c r="AQ151" s="145" t="s">
        <v>74</v>
      </c>
      <c r="AV151" s="144">
        <f>AW151+AX151</f>
        <v>0</v>
      </c>
      <c r="AW151" s="144">
        <f>J151*AO151</f>
        <v>0</v>
      </c>
      <c r="AX151" s="144">
        <f>J151*AP151</f>
        <v>0</v>
      </c>
      <c r="AY151" s="147" t="s">
        <v>403</v>
      </c>
      <c r="AZ151" s="147" t="s">
        <v>422</v>
      </c>
      <c r="BA151" s="143" t="s">
        <v>432</v>
      </c>
      <c r="BC151" s="144">
        <f>AW151+AX151</f>
        <v>0</v>
      </c>
      <c r="BD151" s="144">
        <f>K151/(100-BE151)*100</f>
        <v>0</v>
      </c>
      <c r="BE151" s="144">
        <v>0</v>
      </c>
      <c r="BF151" s="144">
        <f>151</f>
        <v>151</v>
      </c>
      <c r="BH151" s="132">
        <f>J151*AO151</f>
        <v>0</v>
      </c>
      <c r="BI151" s="132">
        <f>J151*AP151</f>
        <v>0</v>
      </c>
      <c r="BJ151" s="132">
        <f>J151*K151</f>
        <v>0</v>
      </c>
      <c r="BK151" s="132" t="s">
        <v>437</v>
      </c>
      <c r="BL151" s="144">
        <v>1</v>
      </c>
    </row>
    <row r="152" spans="1:13" ht="12.75" customHeight="1">
      <c r="A152" s="55"/>
      <c r="B152" s="107" t="s">
        <v>186</v>
      </c>
      <c r="C152" s="114" t="s">
        <v>270</v>
      </c>
      <c r="D152" s="122"/>
      <c r="E152" s="122"/>
      <c r="F152" s="122"/>
      <c r="G152" s="122"/>
      <c r="H152" s="122"/>
      <c r="I152" s="122"/>
      <c r="J152" s="122"/>
      <c r="K152" s="122"/>
      <c r="L152" s="142"/>
      <c r="M152" s="55"/>
    </row>
    <row r="153" spans="1:64" ht="12" customHeight="1">
      <c r="A153" s="96" t="s">
        <v>138</v>
      </c>
      <c r="B153" s="106" t="s">
        <v>195</v>
      </c>
      <c r="C153" s="106" t="s">
        <v>271</v>
      </c>
      <c r="D153" s="120"/>
      <c r="E153" s="120"/>
      <c r="F153" s="120"/>
      <c r="G153" s="120"/>
      <c r="H153" s="120"/>
      <c r="I153" s="106" t="s">
        <v>379</v>
      </c>
      <c r="J153" s="132">
        <v>60.255</v>
      </c>
      <c r="K153" s="132">
        <v>0</v>
      </c>
      <c r="L153" s="151">
        <f>J153*K153</f>
        <v>0</v>
      </c>
      <c r="M153" s="55"/>
      <c r="Z153" s="144">
        <f>IF(AQ153="5",BJ153,0)</f>
        <v>0</v>
      </c>
      <c r="AB153" s="144">
        <f>IF(AQ153="1",BH153,0)</f>
        <v>0</v>
      </c>
      <c r="AC153" s="144">
        <f>IF(AQ153="1",BI153,0)</f>
        <v>0</v>
      </c>
      <c r="AD153" s="144">
        <f>IF(AQ153="7",BH153,0)</f>
        <v>0</v>
      </c>
      <c r="AE153" s="144">
        <f>IF(AQ153="7",BI153,0)</f>
        <v>0</v>
      </c>
      <c r="AF153" s="144">
        <f>IF(AQ153="2",BH153,0)</f>
        <v>0</v>
      </c>
      <c r="AG153" s="144">
        <f>IF(AQ153="2",BI153,0)</f>
        <v>0</v>
      </c>
      <c r="AH153" s="144">
        <f>IF(AQ153="0",BJ153,0)</f>
        <v>0</v>
      </c>
      <c r="AI153" s="143" t="s">
        <v>402</v>
      </c>
      <c r="AJ153" s="132">
        <f>IF(AN153=0,L153,0)</f>
        <v>0</v>
      </c>
      <c r="AK153" s="132">
        <f>IF(AN153=15,L153,0)</f>
        <v>0</v>
      </c>
      <c r="AL153" s="132">
        <f>IF(AN153=21,L153,0)</f>
        <v>0</v>
      </c>
      <c r="AN153" s="144">
        <v>21</v>
      </c>
      <c r="AO153" s="144">
        <f>K153*0</f>
        <v>0</v>
      </c>
      <c r="AP153" s="144">
        <f>K153*(1-0)</f>
        <v>0</v>
      </c>
      <c r="AQ153" s="145" t="s">
        <v>73</v>
      </c>
      <c r="AV153" s="144">
        <f>AW153+AX153</f>
        <v>0</v>
      </c>
      <c r="AW153" s="144">
        <f>J153*AO153</f>
        <v>0</v>
      </c>
      <c r="AX153" s="144">
        <f>J153*AP153</f>
        <v>0</v>
      </c>
      <c r="AY153" s="147" t="s">
        <v>403</v>
      </c>
      <c r="AZ153" s="147" t="s">
        <v>422</v>
      </c>
      <c r="BA153" s="143" t="s">
        <v>432</v>
      </c>
      <c r="BC153" s="144">
        <f>AW153+AX153</f>
        <v>0</v>
      </c>
      <c r="BD153" s="144">
        <f>K153/(100-BE153)*100</f>
        <v>0</v>
      </c>
      <c r="BE153" s="144">
        <v>0</v>
      </c>
      <c r="BF153" s="144">
        <f>153</f>
        <v>153</v>
      </c>
      <c r="BH153" s="132">
        <f>J153*AO153</f>
        <v>0</v>
      </c>
      <c r="BI153" s="132">
        <f>J153*AP153</f>
        <v>0</v>
      </c>
      <c r="BJ153" s="132">
        <f>J153*K153</f>
        <v>0</v>
      </c>
      <c r="BK153" s="132" t="s">
        <v>437</v>
      </c>
      <c r="BL153" s="144">
        <v>1</v>
      </c>
    </row>
    <row r="154" spans="1:13" ht="25.5" customHeight="1">
      <c r="A154" s="55"/>
      <c r="B154" s="107" t="s">
        <v>186</v>
      </c>
      <c r="C154" s="114" t="s">
        <v>272</v>
      </c>
      <c r="D154" s="122"/>
      <c r="E154" s="122"/>
      <c r="F154" s="122"/>
      <c r="G154" s="122"/>
      <c r="H154" s="122"/>
      <c r="I154" s="122"/>
      <c r="J154" s="122"/>
      <c r="K154" s="122"/>
      <c r="L154" s="142"/>
      <c r="M154" s="55"/>
    </row>
    <row r="155" spans="1:64" ht="12" customHeight="1">
      <c r="A155" s="96" t="s">
        <v>139</v>
      </c>
      <c r="B155" s="106" t="s">
        <v>196</v>
      </c>
      <c r="C155" s="106" t="s">
        <v>273</v>
      </c>
      <c r="D155" s="120"/>
      <c r="E155" s="120"/>
      <c r="F155" s="120"/>
      <c r="G155" s="120"/>
      <c r="H155" s="120"/>
      <c r="I155" s="106" t="s">
        <v>379</v>
      </c>
      <c r="J155" s="132">
        <v>58.6</v>
      </c>
      <c r="K155" s="132">
        <v>0</v>
      </c>
      <c r="L155" s="151">
        <f>J155*K155</f>
        <v>0</v>
      </c>
      <c r="M155" s="55"/>
      <c r="Z155" s="144">
        <f>IF(AQ155="5",BJ155,0)</f>
        <v>0</v>
      </c>
      <c r="AB155" s="144">
        <f>IF(AQ155="1",BH155,0)</f>
        <v>0</v>
      </c>
      <c r="AC155" s="144">
        <f>IF(AQ155="1",BI155,0)</f>
        <v>0</v>
      </c>
      <c r="AD155" s="144">
        <f>IF(AQ155="7",BH155,0)</f>
        <v>0</v>
      </c>
      <c r="AE155" s="144">
        <f>IF(AQ155="7",BI155,0)</f>
        <v>0</v>
      </c>
      <c r="AF155" s="144">
        <f>IF(AQ155="2",BH155,0)</f>
        <v>0</v>
      </c>
      <c r="AG155" s="144">
        <f>IF(AQ155="2",BI155,0)</f>
        <v>0</v>
      </c>
      <c r="AH155" s="144">
        <f>IF(AQ155="0",BJ155,0)</f>
        <v>0</v>
      </c>
      <c r="AI155" s="143" t="s">
        <v>402</v>
      </c>
      <c r="AJ155" s="132">
        <f>IF(AN155=0,L155,0)</f>
        <v>0</v>
      </c>
      <c r="AK155" s="132">
        <f>IF(AN155=15,L155,0)</f>
        <v>0</v>
      </c>
      <c r="AL155" s="132">
        <f>IF(AN155=21,L155,0)</f>
        <v>0</v>
      </c>
      <c r="AN155" s="144">
        <v>21</v>
      </c>
      <c r="AO155" s="144">
        <f>K155*0</f>
        <v>0</v>
      </c>
      <c r="AP155" s="144">
        <f>K155*(1-0)</f>
        <v>0</v>
      </c>
      <c r="AQ155" s="145" t="s">
        <v>73</v>
      </c>
      <c r="AV155" s="144">
        <f>AW155+AX155</f>
        <v>0</v>
      </c>
      <c r="AW155" s="144">
        <f>J155*AO155</f>
        <v>0</v>
      </c>
      <c r="AX155" s="144">
        <f>J155*AP155</f>
        <v>0</v>
      </c>
      <c r="AY155" s="147" t="s">
        <v>403</v>
      </c>
      <c r="AZ155" s="147" t="s">
        <v>422</v>
      </c>
      <c r="BA155" s="143" t="s">
        <v>432</v>
      </c>
      <c r="BC155" s="144">
        <f>AW155+AX155</f>
        <v>0</v>
      </c>
      <c r="BD155" s="144">
        <f>K155/(100-BE155)*100</f>
        <v>0</v>
      </c>
      <c r="BE155" s="144">
        <v>0</v>
      </c>
      <c r="BF155" s="144">
        <f>155</f>
        <v>155</v>
      </c>
      <c r="BH155" s="132">
        <f>J155*AO155</f>
        <v>0</v>
      </c>
      <c r="BI155" s="132">
        <f>J155*AP155</f>
        <v>0</v>
      </c>
      <c r="BJ155" s="132">
        <f>J155*K155</f>
        <v>0</v>
      </c>
      <c r="BK155" s="132" t="s">
        <v>437</v>
      </c>
      <c r="BL155" s="144">
        <v>1</v>
      </c>
    </row>
    <row r="156" spans="1:13" ht="12.75" customHeight="1">
      <c r="A156" s="55"/>
      <c r="B156" s="107" t="s">
        <v>184</v>
      </c>
      <c r="C156" s="113" t="s">
        <v>274</v>
      </c>
      <c r="D156" s="121"/>
      <c r="E156" s="121"/>
      <c r="F156" s="121"/>
      <c r="G156" s="121"/>
      <c r="H156" s="121"/>
      <c r="I156" s="121"/>
      <c r="J156" s="121"/>
      <c r="K156" s="121"/>
      <c r="L156" s="141"/>
      <c r="M156" s="55"/>
    </row>
    <row r="157" spans="1:64" ht="12" customHeight="1">
      <c r="A157" s="96" t="s">
        <v>140</v>
      </c>
      <c r="B157" s="106" t="s">
        <v>197</v>
      </c>
      <c r="C157" s="106" t="s">
        <v>275</v>
      </c>
      <c r="D157" s="120"/>
      <c r="E157" s="120"/>
      <c r="F157" s="120"/>
      <c r="G157" s="120"/>
      <c r="H157" s="120"/>
      <c r="I157" s="106" t="s">
        <v>380</v>
      </c>
      <c r="J157" s="132">
        <v>0.9</v>
      </c>
      <c r="K157" s="132">
        <v>0</v>
      </c>
      <c r="L157" s="151">
        <f>J157*K157</f>
        <v>0</v>
      </c>
      <c r="M157" s="55"/>
      <c r="Z157" s="144">
        <f>IF(AQ157="5",BJ157,0)</f>
        <v>0</v>
      </c>
      <c r="AB157" s="144">
        <f>IF(AQ157="1",BH157,0)</f>
        <v>0</v>
      </c>
      <c r="AC157" s="144">
        <f>IF(AQ157="1",BI157,0)</f>
        <v>0</v>
      </c>
      <c r="AD157" s="144">
        <f>IF(AQ157="7",BH157,0)</f>
        <v>0</v>
      </c>
      <c r="AE157" s="144">
        <f>IF(AQ157="7",BI157,0)</f>
        <v>0</v>
      </c>
      <c r="AF157" s="144">
        <f>IF(AQ157="2",BH157,0)</f>
        <v>0</v>
      </c>
      <c r="AG157" s="144">
        <f>IF(AQ157="2",BI157,0)</f>
        <v>0</v>
      </c>
      <c r="AH157" s="144">
        <f>IF(AQ157="0",BJ157,0)</f>
        <v>0</v>
      </c>
      <c r="AI157" s="143" t="s">
        <v>402</v>
      </c>
      <c r="AJ157" s="132">
        <f>IF(AN157=0,L157,0)</f>
        <v>0</v>
      </c>
      <c r="AK157" s="132">
        <f>IF(AN157=15,L157,0)</f>
        <v>0</v>
      </c>
      <c r="AL157" s="132">
        <f>IF(AN157=21,L157,0)</f>
        <v>0</v>
      </c>
      <c r="AN157" s="144">
        <v>21</v>
      </c>
      <c r="AO157" s="144">
        <f>K157*0</f>
        <v>0</v>
      </c>
      <c r="AP157" s="144">
        <f>K157*(1-0)</f>
        <v>0</v>
      </c>
      <c r="AQ157" s="145" t="s">
        <v>73</v>
      </c>
      <c r="AV157" s="144">
        <f>AW157+AX157</f>
        <v>0</v>
      </c>
      <c r="AW157" s="144">
        <f>J157*AO157</f>
        <v>0</v>
      </c>
      <c r="AX157" s="144">
        <f>J157*AP157</f>
        <v>0</v>
      </c>
      <c r="AY157" s="147" t="s">
        <v>403</v>
      </c>
      <c r="AZ157" s="147" t="s">
        <v>422</v>
      </c>
      <c r="BA157" s="143" t="s">
        <v>432</v>
      </c>
      <c r="BC157" s="144">
        <f>AW157+AX157</f>
        <v>0</v>
      </c>
      <c r="BD157" s="144">
        <f>K157/(100-BE157)*100</f>
        <v>0</v>
      </c>
      <c r="BE157" s="144">
        <v>0</v>
      </c>
      <c r="BF157" s="144">
        <f>157</f>
        <v>157</v>
      </c>
      <c r="BH157" s="132">
        <f>J157*AO157</f>
        <v>0</v>
      </c>
      <c r="BI157" s="132">
        <f>J157*AP157</f>
        <v>0</v>
      </c>
      <c r="BJ157" s="132">
        <f>J157*K157</f>
        <v>0</v>
      </c>
      <c r="BK157" s="132" t="s">
        <v>437</v>
      </c>
      <c r="BL157" s="144">
        <v>1</v>
      </c>
    </row>
    <row r="158" spans="1:13" ht="12.75" customHeight="1">
      <c r="A158" s="55"/>
      <c r="B158" s="107" t="s">
        <v>186</v>
      </c>
      <c r="C158" s="114" t="s">
        <v>276</v>
      </c>
      <c r="D158" s="122"/>
      <c r="E158" s="122"/>
      <c r="F158" s="122"/>
      <c r="G158" s="122"/>
      <c r="H158" s="122"/>
      <c r="I158" s="122"/>
      <c r="J158" s="122"/>
      <c r="K158" s="122"/>
      <c r="L158" s="142"/>
      <c r="M158" s="55"/>
    </row>
    <row r="159" spans="1:47" ht="12" customHeight="1">
      <c r="A159" s="95"/>
      <c r="B159" s="105" t="s">
        <v>73</v>
      </c>
      <c r="C159" s="105" t="s">
        <v>277</v>
      </c>
      <c r="D159" s="119"/>
      <c r="E159" s="119"/>
      <c r="F159" s="119"/>
      <c r="G159" s="119"/>
      <c r="H159" s="119"/>
      <c r="I159" s="129" t="s">
        <v>72</v>
      </c>
      <c r="J159" s="129" t="s">
        <v>72</v>
      </c>
      <c r="K159" s="129" t="s">
        <v>72</v>
      </c>
      <c r="L159" s="150">
        <f>SUM(L160:L161)</f>
        <v>0</v>
      </c>
      <c r="M159" s="55"/>
      <c r="AI159" s="143" t="s">
        <v>402</v>
      </c>
      <c r="AS159" s="156">
        <f>SUM(AJ160:AJ161)</f>
        <v>0</v>
      </c>
      <c r="AT159" s="156">
        <f>SUM(AK160:AK161)</f>
        <v>0</v>
      </c>
      <c r="AU159" s="156">
        <f>SUM(AL160:AL161)</f>
        <v>0</v>
      </c>
    </row>
    <row r="160" spans="1:64" ht="12" customHeight="1">
      <c r="A160" s="96" t="s">
        <v>141</v>
      </c>
      <c r="B160" s="106" t="s">
        <v>198</v>
      </c>
      <c r="C160" s="106" t="s">
        <v>278</v>
      </c>
      <c r="D160" s="120"/>
      <c r="E160" s="120"/>
      <c r="F160" s="120"/>
      <c r="G160" s="120"/>
      <c r="H160" s="120"/>
      <c r="I160" s="106" t="s">
        <v>380</v>
      </c>
      <c r="J160" s="132">
        <v>29.616</v>
      </c>
      <c r="K160" s="132">
        <v>0</v>
      </c>
      <c r="L160" s="151">
        <f>J160*K160</f>
        <v>0</v>
      </c>
      <c r="M160" s="55"/>
      <c r="Z160" s="144">
        <f>IF(AQ160="5",BJ160,0)</f>
        <v>0</v>
      </c>
      <c r="AB160" s="144">
        <f>IF(AQ160="1",BH160,0)</f>
        <v>0</v>
      </c>
      <c r="AC160" s="144">
        <f>IF(AQ160="1",BI160,0)</f>
        <v>0</v>
      </c>
      <c r="AD160" s="144">
        <f>IF(AQ160="7",BH160,0)</f>
        <v>0</v>
      </c>
      <c r="AE160" s="144">
        <f>IF(AQ160="7",BI160,0)</f>
        <v>0</v>
      </c>
      <c r="AF160" s="144">
        <f>IF(AQ160="2",BH160,0)</f>
        <v>0</v>
      </c>
      <c r="AG160" s="144">
        <f>IF(AQ160="2",BI160,0)</f>
        <v>0</v>
      </c>
      <c r="AH160" s="144">
        <f>IF(AQ160="0",BJ160,0)</f>
        <v>0</v>
      </c>
      <c r="AI160" s="143" t="s">
        <v>402</v>
      </c>
      <c r="AJ160" s="132">
        <f>IF(AN160=0,L160,0)</f>
        <v>0</v>
      </c>
      <c r="AK160" s="132">
        <f>IF(AN160=15,L160,0)</f>
        <v>0</v>
      </c>
      <c r="AL160" s="132">
        <f>IF(AN160=21,L160,0)</f>
        <v>0</v>
      </c>
      <c r="AN160" s="144">
        <v>21</v>
      </c>
      <c r="AO160" s="144">
        <f>K160*0</f>
        <v>0</v>
      </c>
      <c r="AP160" s="144">
        <f>K160*(1-0)</f>
        <v>0</v>
      </c>
      <c r="AQ160" s="145" t="s">
        <v>73</v>
      </c>
      <c r="AV160" s="144">
        <f>AW160+AX160</f>
        <v>0</v>
      </c>
      <c r="AW160" s="144">
        <f>J160*AO160</f>
        <v>0</v>
      </c>
      <c r="AX160" s="144">
        <f>J160*AP160</f>
        <v>0</v>
      </c>
      <c r="AY160" s="147" t="s">
        <v>404</v>
      </c>
      <c r="AZ160" s="147" t="s">
        <v>423</v>
      </c>
      <c r="BA160" s="143" t="s">
        <v>432</v>
      </c>
      <c r="BC160" s="144">
        <f>AW160+AX160</f>
        <v>0</v>
      </c>
      <c r="BD160" s="144">
        <f>K160/(100-BE160)*100</f>
        <v>0</v>
      </c>
      <c r="BE160" s="144">
        <v>0</v>
      </c>
      <c r="BF160" s="144">
        <f>160</f>
        <v>160</v>
      </c>
      <c r="BH160" s="132">
        <f>J160*AO160</f>
        <v>0</v>
      </c>
      <c r="BI160" s="132">
        <f>J160*AP160</f>
        <v>0</v>
      </c>
      <c r="BJ160" s="132">
        <f>J160*K160</f>
        <v>0</v>
      </c>
      <c r="BK160" s="132" t="s">
        <v>437</v>
      </c>
      <c r="BL160" s="144">
        <v>1</v>
      </c>
    </row>
    <row r="161" spans="1:64" ht="12" customHeight="1">
      <c r="A161" s="96" t="s">
        <v>142</v>
      </c>
      <c r="B161" s="106" t="s">
        <v>199</v>
      </c>
      <c r="C161" s="106" t="s">
        <v>279</v>
      </c>
      <c r="D161" s="120"/>
      <c r="E161" s="120"/>
      <c r="F161" s="120"/>
      <c r="G161" s="120"/>
      <c r="H161" s="120"/>
      <c r="I161" s="106" t="s">
        <v>380</v>
      </c>
      <c r="J161" s="132">
        <v>29</v>
      </c>
      <c r="K161" s="132">
        <v>0</v>
      </c>
      <c r="L161" s="151">
        <f>J161*K161</f>
        <v>0</v>
      </c>
      <c r="M161" s="55"/>
      <c r="Z161" s="144">
        <f>IF(AQ161="5",BJ161,0)</f>
        <v>0</v>
      </c>
      <c r="AB161" s="144">
        <f>IF(AQ161="1",BH161,0)</f>
        <v>0</v>
      </c>
      <c r="AC161" s="144">
        <f>IF(AQ161="1",BI161,0)</f>
        <v>0</v>
      </c>
      <c r="AD161" s="144">
        <f>IF(AQ161="7",BH161,0)</f>
        <v>0</v>
      </c>
      <c r="AE161" s="144">
        <f>IF(AQ161="7",BI161,0)</f>
        <v>0</v>
      </c>
      <c r="AF161" s="144">
        <f>IF(AQ161="2",BH161,0)</f>
        <v>0</v>
      </c>
      <c r="AG161" s="144">
        <f>IF(AQ161="2",BI161,0)</f>
        <v>0</v>
      </c>
      <c r="AH161" s="144">
        <f>IF(AQ161="0",BJ161,0)</f>
        <v>0</v>
      </c>
      <c r="AI161" s="143" t="s">
        <v>402</v>
      </c>
      <c r="AJ161" s="132">
        <f>IF(AN161=0,L161,0)</f>
        <v>0</v>
      </c>
      <c r="AK161" s="132">
        <f>IF(AN161=15,L161,0)</f>
        <v>0</v>
      </c>
      <c r="AL161" s="132">
        <f>IF(AN161=21,L161,0)</f>
        <v>0</v>
      </c>
      <c r="AN161" s="144">
        <v>21</v>
      </c>
      <c r="AO161" s="144">
        <f>K161*0</f>
        <v>0</v>
      </c>
      <c r="AP161" s="144">
        <f>K161*(1-0)</f>
        <v>0</v>
      </c>
      <c r="AQ161" s="145" t="s">
        <v>73</v>
      </c>
      <c r="AV161" s="144">
        <f>AW161+AX161</f>
        <v>0</v>
      </c>
      <c r="AW161" s="144">
        <f>J161*AO161</f>
        <v>0</v>
      </c>
      <c r="AX161" s="144">
        <f>J161*AP161</f>
        <v>0</v>
      </c>
      <c r="AY161" s="147" t="s">
        <v>404</v>
      </c>
      <c r="AZ161" s="147" t="s">
        <v>423</v>
      </c>
      <c r="BA161" s="143" t="s">
        <v>432</v>
      </c>
      <c r="BC161" s="144">
        <f>AW161+AX161</f>
        <v>0</v>
      </c>
      <c r="BD161" s="144">
        <f>K161/(100-BE161)*100</f>
        <v>0</v>
      </c>
      <c r="BE161" s="144">
        <v>0</v>
      </c>
      <c r="BF161" s="144">
        <f>161</f>
        <v>161</v>
      </c>
      <c r="BH161" s="132">
        <f>J161*AO161</f>
        <v>0</v>
      </c>
      <c r="BI161" s="132">
        <f>J161*AP161</f>
        <v>0</v>
      </c>
      <c r="BJ161" s="132">
        <f>J161*K161</f>
        <v>0</v>
      </c>
      <c r="BK161" s="132" t="s">
        <v>437</v>
      </c>
      <c r="BL161" s="144">
        <v>1</v>
      </c>
    </row>
    <row r="162" spans="1:13" ht="25.5" customHeight="1">
      <c r="A162" s="55"/>
      <c r="B162" s="107" t="s">
        <v>184</v>
      </c>
      <c r="C162" s="113" t="s">
        <v>280</v>
      </c>
      <c r="D162" s="121"/>
      <c r="E162" s="121"/>
      <c r="F162" s="121"/>
      <c r="G162" s="121"/>
      <c r="H162" s="121"/>
      <c r="I162" s="121"/>
      <c r="J162" s="121"/>
      <c r="K162" s="121"/>
      <c r="L162" s="141"/>
      <c r="M162" s="55"/>
    </row>
    <row r="163" spans="1:47" ht="12" customHeight="1">
      <c r="A163" s="95"/>
      <c r="B163" s="105" t="s">
        <v>99</v>
      </c>
      <c r="C163" s="105" t="s">
        <v>281</v>
      </c>
      <c r="D163" s="119"/>
      <c r="E163" s="119"/>
      <c r="F163" s="119"/>
      <c r="G163" s="119"/>
      <c r="H163" s="119"/>
      <c r="I163" s="129" t="s">
        <v>72</v>
      </c>
      <c r="J163" s="129" t="s">
        <v>72</v>
      </c>
      <c r="K163" s="129" t="s">
        <v>72</v>
      </c>
      <c r="L163" s="150">
        <f>SUM(L164:L170)</f>
        <v>0</v>
      </c>
      <c r="M163" s="55"/>
      <c r="AI163" s="143" t="s">
        <v>402</v>
      </c>
      <c r="AS163" s="156">
        <f>SUM(AJ164:AJ170)</f>
        <v>0</v>
      </c>
      <c r="AT163" s="156">
        <f>SUM(AK164:AK170)</f>
        <v>0</v>
      </c>
      <c r="AU163" s="156">
        <f>SUM(AL164:AL170)</f>
        <v>0</v>
      </c>
    </row>
    <row r="164" spans="1:64" ht="12" customHeight="1">
      <c r="A164" s="96" t="s">
        <v>143</v>
      </c>
      <c r="B164" s="106" t="s">
        <v>200</v>
      </c>
      <c r="C164" s="106" t="s">
        <v>282</v>
      </c>
      <c r="D164" s="120"/>
      <c r="E164" s="120"/>
      <c r="F164" s="120"/>
      <c r="G164" s="120"/>
      <c r="H164" s="120"/>
      <c r="I164" s="106" t="s">
        <v>381</v>
      </c>
      <c r="J164" s="132">
        <v>25</v>
      </c>
      <c r="K164" s="132">
        <v>0</v>
      </c>
      <c r="L164" s="151">
        <f>J164*K164</f>
        <v>0</v>
      </c>
      <c r="M164" s="55"/>
      <c r="Z164" s="144">
        <f>IF(AQ164="5",BJ164,0)</f>
        <v>0</v>
      </c>
      <c r="AB164" s="144">
        <f>IF(AQ164="1",BH164,0)</f>
        <v>0</v>
      </c>
      <c r="AC164" s="144">
        <f>IF(AQ164="1",BI164,0)</f>
        <v>0</v>
      </c>
      <c r="AD164" s="144">
        <f>IF(AQ164="7",BH164,0)</f>
        <v>0</v>
      </c>
      <c r="AE164" s="144">
        <f>IF(AQ164="7",BI164,0)</f>
        <v>0</v>
      </c>
      <c r="AF164" s="144">
        <f>IF(AQ164="2",BH164,0)</f>
        <v>0</v>
      </c>
      <c r="AG164" s="144">
        <f>IF(AQ164="2",BI164,0)</f>
        <v>0</v>
      </c>
      <c r="AH164" s="144">
        <f>IF(AQ164="0",BJ164,0)</f>
        <v>0</v>
      </c>
      <c r="AI164" s="143" t="s">
        <v>402</v>
      </c>
      <c r="AJ164" s="132">
        <f>IF(AN164=0,L164,0)</f>
        <v>0</v>
      </c>
      <c r="AK164" s="132">
        <f>IF(AN164=15,L164,0)</f>
        <v>0</v>
      </c>
      <c r="AL164" s="132">
        <f>IF(AN164=21,L164,0)</f>
        <v>0</v>
      </c>
      <c r="AN164" s="144">
        <v>21</v>
      </c>
      <c r="AO164" s="144">
        <f>K164*0.426065257665696</f>
        <v>0</v>
      </c>
      <c r="AP164" s="144">
        <f>K164*(1-0.426065257665696)</f>
        <v>0</v>
      </c>
      <c r="AQ164" s="145" t="s">
        <v>73</v>
      </c>
      <c r="AV164" s="144">
        <f>AW164+AX164</f>
        <v>0</v>
      </c>
      <c r="AW164" s="144">
        <f>J164*AO164</f>
        <v>0</v>
      </c>
      <c r="AX164" s="144">
        <f>J164*AP164</f>
        <v>0</v>
      </c>
      <c r="AY164" s="147" t="s">
        <v>405</v>
      </c>
      <c r="AZ164" s="147" t="s">
        <v>424</v>
      </c>
      <c r="BA164" s="143" t="s">
        <v>432</v>
      </c>
      <c r="BC164" s="144">
        <f>AW164+AX164</f>
        <v>0</v>
      </c>
      <c r="BD164" s="144">
        <f>K164/(100-BE164)*100</f>
        <v>0</v>
      </c>
      <c r="BE164" s="144">
        <v>0</v>
      </c>
      <c r="BF164" s="144">
        <f>164</f>
        <v>164</v>
      </c>
      <c r="BH164" s="132">
        <f>J164*AO164</f>
        <v>0</v>
      </c>
      <c r="BI164" s="132">
        <f>J164*AP164</f>
        <v>0</v>
      </c>
      <c r="BJ164" s="132">
        <f>J164*K164</f>
        <v>0</v>
      </c>
      <c r="BK164" s="132" t="s">
        <v>437</v>
      </c>
      <c r="BL164" s="144">
        <v>27</v>
      </c>
    </row>
    <row r="165" spans="1:13" ht="12.75" customHeight="1">
      <c r="A165" s="55"/>
      <c r="B165" s="107" t="s">
        <v>186</v>
      </c>
      <c r="C165" s="114" t="s">
        <v>283</v>
      </c>
      <c r="D165" s="122"/>
      <c r="E165" s="122"/>
      <c r="F165" s="122"/>
      <c r="G165" s="122"/>
      <c r="H165" s="122"/>
      <c r="I165" s="122"/>
      <c r="J165" s="122"/>
      <c r="K165" s="122"/>
      <c r="L165" s="142"/>
      <c r="M165" s="55"/>
    </row>
    <row r="166" spans="1:64" ht="12" customHeight="1">
      <c r="A166" s="96" t="s">
        <v>144</v>
      </c>
      <c r="B166" s="106" t="s">
        <v>201</v>
      </c>
      <c r="C166" s="106" t="s">
        <v>284</v>
      </c>
      <c r="D166" s="120"/>
      <c r="E166" s="120"/>
      <c r="F166" s="120"/>
      <c r="G166" s="120"/>
      <c r="H166" s="120"/>
      <c r="I166" s="106" t="s">
        <v>380</v>
      </c>
      <c r="J166" s="132">
        <v>0.805</v>
      </c>
      <c r="K166" s="132">
        <v>0</v>
      </c>
      <c r="L166" s="151">
        <f>J166*K166</f>
        <v>0</v>
      </c>
      <c r="M166" s="55"/>
      <c r="Z166" s="144">
        <f>IF(AQ166="5",BJ166,0)</f>
        <v>0</v>
      </c>
      <c r="AB166" s="144">
        <f>IF(AQ166="1",BH166,0)</f>
        <v>0</v>
      </c>
      <c r="AC166" s="144">
        <f>IF(AQ166="1",BI166,0)</f>
        <v>0</v>
      </c>
      <c r="AD166" s="144">
        <f>IF(AQ166="7",BH166,0)</f>
        <v>0</v>
      </c>
      <c r="AE166" s="144">
        <f>IF(AQ166="7",BI166,0)</f>
        <v>0</v>
      </c>
      <c r="AF166" s="144">
        <f>IF(AQ166="2",BH166,0)</f>
        <v>0</v>
      </c>
      <c r="AG166" s="144">
        <f>IF(AQ166="2",BI166,0)</f>
        <v>0</v>
      </c>
      <c r="AH166" s="144">
        <f>IF(AQ166="0",BJ166,0)</f>
        <v>0</v>
      </c>
      <c r="AI166" s="143" t="s">
        <v>402</v>
      </c>
      <c r="AJ166" s="132">
        <f>IF(AN166=0,L166,0)</f>
        <v>0</v>
      </c>
      <c r="AK166" s="132">
        <f>IF(AN166=15,L166,0)</f>
        <v>0</v>
      </c>
      <c r="AL166" s="132">
        <f>IF(AN166=21,L166,0)</f>
        <v>0</v>
      </c>
      <c r="AN166" s="144">
        <v>21</v>
      </c>
      <c r="AO166" s="144">
        <f>K166*0.609022281825215</f>
        <v>0</v>
      </c>
      <c r="AP166" s="144">
        <f>K166*(1-0.609022281825215)</f>
        <v>0</v>
      </c>
      <c r="AQ166" s="145" t="s">
        <v>73</v>
      </c>
      <c r="AV166" s="144">
        <f>AW166+AX166</f>
        <v>0</v>
      </c>
      <c r="AW166" s="144">
        <f>J166*AO166</f>
        <v>0</v>
      </c>
      <c r="AX166" s="144">
        <f>J166*AP166</f>
        <v>0</v>
      </c>
      <c r="AY166" s="147" t="s">
        <v>405</v>
      </c>
      <c r="AZ166" s="147" t="s">
        <v>424</v>
      </c>
      <c r="BA166" s="143" t="s">
        <v>432</v>
      </c>
      <c r="BC166" s="144">
        <f>AW166+AX166</f>
        <v>0</v>
      </c>
      <c r="BD166" s="144">
        <f>K166/(100-BE166)*100</f>
        <v>0</v>
      </c>
      <c r="BE166" s="144">
        <v>0</v>
      </c>
      <c r="BF166" s="144">
        <f>166</f>
        <v>166</v>
      </c>
      <c r="BH166" s="132">
        <f>J166*AO166</f>
        <v>0</v>
      </c>
      <c r="BI166" s="132">
        <f>J166*AP166</f>
        <v>0</v>
      </c>
      <c r="BJ166" s="132">
        <f>J166*K166</f>
        <v>0</v>
      </c>
      <c r="BK166" s="132" t="s">
        <v>437</v>
      </c>
      <c r="BL166" s="144">
        <v>27</v>
      </c>
    </row>
    <row r="167" spans="1:64" ht="12" customHeight="1">
      <c r="A167" s="96" t="s">
        <v>145</v>
      </c>
      <c r="B167" s="106" t="s">
        <v>202</v>
      </c>
      <c r="C167" s="106" t="s">
        <v>285</v>
      </c>
      <c r="D167" s="120"/>
      <c r="E167" s="120"/>
      <c r="F167" s="120"/>
      <c r="G167" s="120"/>
      <c r="H167" s="120"/>
      <c r="I167" s="106" t="s">
        <v>379</v>
      </c>
      <c r="J167" s="132">
        <v>37.5</v>
      </c>
      <c r="K167" s="132">
        <v>0</v>
      </c>
      <c r="L167" s="151">
        <f>J167*K167</f>
        <v>0</v>
      </c>
      <c r="M167" s="55"/>
      <c r="Z167" s="144">
        <f>IF(AQ167="5",BJ167,0)</f>
        <v>0</v>
      </c>
      <c r="AB167" s="144">
        <f>IF(AQ167="1",BH167,0)</f>
        <v>0</v>
      </c>
      <c r="AC167" s="144">
        <f>IF(AQ167="1",BI167,0)</f>
        <v>0</v>
      </c>
      <c r="AD167" s="144">
        <f>IF(AQ167="7",BH167,0)</f>
        <v>0</v>
      </c>
      <c r="AE167" s="144">
        <f>IF(AQ167="7",BI167,0)</f>
        <v>0</v>
      </c>
      <c r="AF167" s="144">
        <f>IF(AQ167="2",BH167,0)</f>
        <v>0</v>
      </c>
      <c r="AG167" s="144">
        <f>IF(AQ167="2",BI167,0)</f>
        <v>0</v>
      </c>
      <c r="AH167" s="144">
        <f>IF(AQ167="0",BJ167,0)</f>
        <v>0</v>
      </c>
      <c r="AI167" s="143" t="s">
        <v>402</v>
      </c>
      <c r="AJ167" s="132">
        <f>IF(AN167=0,L167,0)</f>
        <v>0</v>
      </c>
      <c r="AK167" s="132">
        <f>IF(AN167=15,L167,0)</f>
        <v>0</v>
      </c>
      <c r="AL167" s="132">
        <f>IF(AN167=21,L167,0)</f>
        <v>0</v>
      </c>
      <c r="AN167" s="144">
        <v>21</v>
      </c>
      <c r="AO167" s="144">
        <f>K167*0.0873469387755102</f>
        <v>0</v>
      </c>
      <c r="AP167" s="144">
        <f>K167*(1-0.0873469387755102)</f>
        <v>0</v>
      </c>
      <c r="AQ167" s="145" t="s">
        <v>73</v>
      </c>
      <c r="AV167" s="144">
        <f>AW167+AX167</f>
        <v>0</v>
      </c>
      <c r="AW167" s="144">
        <f>J167*AO167</f>
        <v>0</v>
      </c>
      <c r="AX167" s="144">
        <f>J167*AP167</f>
        <v>0</v>
      </c>
      <c r="AY167" s="147" t="s">
        <v>405</v>
      </c>
      <c r="AZ167" s="147" t="s">
        <v>424</v>
      </c>
      <c r="BA167" s="143" t="s">
        <v>432</v>
      </c>
      <c r="BC167" s="144">
        <f>AW167+AX167</f>
        <v>0</v>
      </c>
      <c r="BD167" s="144">
        <f>K167/(100-BE167)*100</f>
        <v>0</v>
      </c>
      <c r="BE167" s="144">
        <v>0</v>
      </c>
      <c r="BF167" s="144">
        <f>167</f>
        <v>167</v>
      </c>
      <c r="BH167" s="132">
        <f>J167*AO167</f>
        <v>0</v>
      </c>
      <c r="BI167" s="132">
        <f>J167*AP167</f>
        <v>0</v>
      </c>
      <c r="BJ167" s="132">
        <f>J167*K167</f>
        <v>0</v>
      </c>
      <c r="BK167" s="132" t="s">
        <v>437</v>
      </c>
      <c r="BL167" s="144">
        <v>27</v>
      </c>
    </row>
    <row r="168" spans="1:13" ht="12.75" customHeight="1">
      <c r="A168" s="55"/>
      <c r="B168" s="107" t="s">
        <v>184</v>
      </c>
      <c r="C168" s="113" t="s">
        <v>286</v>
      </c>
      <c r="D168" s="121"/>
      <c r="E168" s="121"/>
      <c r="F168" s="121"/>
      <c r="G168" s="121"/>
      <c r="H168" s="121"/>
      <c r="I168" s="121"/>
      <c r="J168" s="121"/>
      <c r="K168" s="121"/>
      <c r="L168" s="141"/>
      <c r="M168" s="55"/>
    </row>
    <row r="169" spans="1:64" ht="12" customHeight="1">
      <c r="A169" s="96" t="s">
        <v>146</v>
      </c>
      <c r="B169" s="106" t="s">
        <v>203</v>
      </c>
      <c r="C169" s="106" t="s">
        <v>287</v>
      </c>
      <c r="D169" s="120"/>
      <c r="E169" s="120"/>
      <c r="F169" s="120"/>
      <c r="G169" s="120"/>
      <c r="H169" s="120"/>
      <c r="I169" s="106" t="s">
        <v>382</v>
      </c>
      <c r="J169" s="132">
        <v>1</v>
      </c>
      <c r="K169" s="132">
        <v>0</v>
      </c>
      <c r="L169" s="151">
        <f>J169*K169</f>
        <v>0</v>
      </c>
      <c r="M169" s="55"/>
      <c r="Z169" s="144">
        <f>IF(AQ169="5",BJ169,0)</f>
        <v>0</v>
      </c>
      <c r="AB169" s="144">
        <f>IF(AQ169="1",BH169,0)</f>
        <v>0</v>
      </c>
      <c r="AC169" s="144">
        <f>IF(AQ169="1",BI169,0)</f>
        <v>0</v>
      </c>
      <c r="AD169" s="144">
        <f>IF(AQ169="7",BH169,0)</f>
        <v>0</v>
      </c>
      <c r="AE169" s="144">
        <f>IF(AQ169="7",BI169,0)</f>
        <v>0</v>
      </c>
      <c r="AF169" s="144">
        <f>IF(AQ169="2",BH169,0)</f>
        <v>0</v>
      </c>
      <c r="AG169" s="144">
        <f>IF(AQ169="2",BI169,0)</f>
        <v>0</v>
      </c>
      <c r="AH169" s="144">
        <f>IF(AQ169="0",BJ169,0)</f>
        <v>0</v>
      </c>
      <c r="AI169" s="143" t="s">
        <v>402</v>
      </c>
      <c r="AJ169" s="132">
        <f>IF(AN169=0,L169,0)</f>
        <v>0</v>
      </c>
      <c r="AK169" s="132">
        <f>IF(AN169=15,L169,0)</f>
        <v>0</v>
      </c>
      <c r="AL169" s="132">
        <f>IF(AN169=21,L169,0)</f>
        <v>0</v>
      </c>
      <c r="AN169" s="144">
        <v>21</v>
      </c>
      <c r="AO169" s="144">
        <f>K169*0</f>
        <v>0</v>
      </c>
      <c r="AP169" s="144">
        <f>K169*(1-0)</f>
        <v>0</v>
      </c>
      <c r="AQ169" s="145" t="s">
        <v>73</v>
      </c>
      <c r="AV169" s="144">
        <f>AW169+AX169</f>
        <v>0</v>
      </c>
      <c r="AW169" s="144">
        <f>J169*AO169</f>
        <v>0</v>
      </c>
      <c r="AX169" s="144">
        <f>J169*AP169</f>
        <v>0</v>
      </c>
      <c r="AY169" s="147" t="s">
        <v>405</v>
      </c>
      <c r="AZ169" s="147" t="s">
        <v>424</v>
      </c>
      <c r="BA169" s="143" t="s">
        <v>432</v>
      </c>
      <c r="BC169" s="144">
        <f>AW169+AX169</f>
        <v>0</v>
      </c>
      <c r="BD169" s="144">
        <f>K169/(100-BE169)*100</f>
        <v>0</v>
      </c>
      <c r="BE169" s="144">
        <v>0</v>
      </c>
      <c r="BF169" s="144">
        <f>169</f>
        <v>169</v>
      </c>
      <c r="BH169" s="132">
        <f>J169*AO169</f>
        <v>0</v>
      </c>
      <c r="BI169" s="132">
        <f>J169*AP169</f>
        <v>0</v>
      </c>
      <c r="BJ169" s="132">
        <f>J169*K169</f>
        <v>0</v>
      </c>
      <c r="BK169" s="132" t="s">
        <v>437</v>
      </c>
      <c r="BL169" s="144">
        <v>27</v>
      </c>
    </row>
    <row r="170" spans="1:64" ht="12" customHeight="1">
      <c r="A170" s="97" t="s">
        <v>147</v>
      </c>
      <c r="B170" s="108" t="s">
        <v>204</v>
      </c>
      <c r="C170" s="108" t="s">
        <v>288</v>
      </c>
      <c r="D170" s="123"/>
      <c r="E170" s="123"/>
      <c r="F170" s="123"/>
      <c r="G170" s="123"/>
      <c r="H170" s="123"/>
      <c r="I170" s="108" t="s">
        <v>383</v>
      </c>
      <c r="J170" s="133">
        <v>1</v>
      </c>
      <c r="K170" s="133">
        <v>0</v>
      </c>
      <c r="L170" s="152">
        <f>J170*K170</f>
        <v>0</v>
      </c>
      <c r="M170" s="55"/>
      <c r="Z170" s="144">
        <f>IF(AQ170="5",BJ170,0)</f>
        <v>0</v>
      </c>
      <c r="AB170" s="144">
        <f>IF(AQ170="1",BH170,0)</f>
        <v>0</v>
      </c>
      <c r="AC170" s="144">
        <f>IF(AQ170="1",BI170,0)</f>
        <v>0</v>
      </c>
      <c r="AD170" s="144">
        <f>IF(AQ170="7",BH170,0)</f>
        <v>0</v>
      </c>
      <c r="AE170" s="144">
        <f>IF(AQ170="7",BI170,0)</f>
        <v>0</v>
      </c>
      <c r="AF170" s="144">
        <f>IF(AQ170="2",BH170,0)</f>
        <v>0</v>
      </c>
      <c r="AG170" s="144">
        <f>IF(AQ170="2",BI170,0)</f>
        <v>0</v>
      </c>
      <c r="AH170" s="144">
        <f>IF(AQ170="0",BJ170,0)</f>
        <v>0</v>
      </c>
      <c r="AI170" s="143" t="s">
        <v>402</v>
      </c>
      <c r="AJ170" s="133">
        <f>IF(AN170=0,L170,0)</f>
        <v>0</v>
      </c>
      <c r="AK170" s="133">
        <f>IF(AN170=15,L170,0)</f>
        <v>0</v>
      </c>
      <c r="AL170" s="133">
        <f>IF(AN170=21,L170,0)</f>
        <v>0</v>
      </c>
      <c r="AN170" s="144">
        <v>21</v>
      </c>
      <c r="AO170" s="144">
        <f>K170*1</f>
        <v>0</v>
      </c>
      <c r="AP170" s="144">
        <f>K170*(1-1)</f>
        <v>0</v>
      </c>
      <c r="AQ170" s="146" t="s">
        <v>73</v>
      </c>
      <c r="AV170" s="144">
        <f>AW170+AX170</f>
        <v>0</v>
      </c>
      <c r="AW170" s="144">
        <f>J170*AO170</f>
        <v>0</v>
      </c>
      <c r="AX170" s="144">
        <f>J170*AP170</f>
        <v>0</v>
      </c>
      <c r="AY170" s="147" t="s">
        <v>405</v>
      </c>
      <c r="AZ170" s="147" t="s">
        <v>424</v>
      </c>
      <c r="BA170" s="143" t="s">
        <v>432</v>
      </c>
      <c r="BC170" s="144">
        <f>AW170+AX170</f>
        <v>0</v>
      </c>
      <c r="BD170" s="144">
        <f>K170/(100-BE170)*100</f>
        <v>0</v>
      </c>
      <c r="BE170" s="144">
        <v>0</v>
      </c>
      <c r="BF170" s="144">
        <f>170</f>
        <v>170</v>
      </c>
      <c r="BH170" s="133">
        <f>J170*AO170</f>
        <v>0</v>
      </c>
      <c r="BI170" s="133">
        <f>J170*AP170</f>
        <v>0</v>
      </c>
      <c r="BJ170" s="133">
        <f>J170*K170</f>
        <v>0</v>
      </c>
      <c r="BK170" s="133" t="s">
        <v>438</v>
      </c>
      <c r="BL170" s="144">
        <v>27</v>
      </c>
    </row>
    <row r="171" spans="1:13" ht="12.75" customHeight="1">
      <c r="A171" s="55"/>
      <c r="B171" s="107" t="s">
        <v>184</v>
      </c>
      <c r="C171" s="113" t="s">
        <v>289</v>
      </c>
      <c r="D171" s="121"/>
      <c r="E171" s="121"/>
      <c r="F171" s="121"/>
      <c r="G171" s="121"/>
      <c r="H171" s="121"/>
      <c r="I171" s="121"/>
      <c r="J171" s="121"/>
      <c r="K171" s="121"/>
      <c r="L171" s="141"/>
      <c r="M171" s="55"/>
    </row>
    <row r="172" spans="1:47" ht="12" customHeight="1">
      <c r="A172" s="95"/>
      <c r="B172" s="105" t="s">
        <v>75</v>
      </c>
      <c r="C172" s="105" t="s">
        <v>290</v>
      </c>
      <c r="D172" s="119"/>
      <c r="E172" s="119"/>
      <c r="F172" s="119"/>
      <c r="G172" s="119"/>
      <c r="H172" s="119"/>
      <c r="I172" s="129" t="s">
        <v>72</v>
      </c>
      <c r="J172" s="129" t="s">
        <v>72</v>
      </c>
      <c r="K172" s="129" t="s">
        <v>72</v>
      </c>
      <c r="L172" s="150">
        <f>SUM(L173:L175)</f>
        <v>0</v>
      </c>
      <c r="M172" s="55"/>
      <c r="AI172" s="143" t="s">
        <v>402</v>
      </c>
      <c r="AS172" s="156">
        <f>SUM(AJ173:AJ175)</f>
        <v>0</v>
      </c>
      <c r="AT172" s="156">
        <f>SUM(AK173:AK175)</f>
        <v>0</v>
      </c>
      <c r="AU172" s="156">
        <f>SUM(AL173:AL175)</f>
        <v>0</v>
      </c>
    </row>
    <row r="173" spans="1:64" ht="12" customHeight="1">
      <c r="A173" s="96" t="s">
        <v>148</v>
      </c>
      <c r="B173" s="106" t="s">
        <v>205</v>
      </c>
      <c r="C173" s="106" t="s">
        <v>291</v>
      </c>
      <c r="D173" s="120"/>
      <c r="E173" s="120"/>
      <c r="F173" s="120"/>
      <c r="G173" s="120"/>
      <c r="H173" s="120"/>
      <c r="I173" s="106" t="s">
        <v>381</v>
      </c>
      <c r="J173" s="132">
        <v>2</v>
      </c>
      <c r="K173" s="132">
        <v>0</v>
      </c>
      <c r="L173" s="151">
        <f>J173*K173</f>
        <v>0</v>
      </c>
      <c r="M173" s="55"/>
      <c r="Z173" s="144">
        <f>IF(AQ173="5",BJ173,0)</f>
        <v>0</v>
      </c>
      <c r="AB173" s="144">
        <f>IF(AQ173="1",BH173,0)</f>
        <v>0</v>
      </c>
      <c r="AC173" s="144">
        <f>IF(AQ173="1",BI173,0)</f>
        <v>0</v>
      </c>
      <c r="AD173" s="144">
        <f>IF(AQ173="7",BH173,0)</f>
        <v>0</v>
      </c>
      <c r="AE173" s="144">
        <f>IF(AQ173="7",BI173,0)</f>
        <v>0</v>
      </c>
      <c r="AF173" s="144">
        <f>IF(AQ173="2",BH173,0)</f>
        <v>0</v>
      </c>
      <c r="AG173" s="144">
        <f>IF(AQ173="2",BI173,0)</f>
        <v>0</v>
      </c>
      <c r="AH173" s="144">
        <f>IF(AQ173="0",BJ173,0)</f>
        <v>0</v>
      </c>
      <c r="AI173" s="143" t="s">
        <v>402</v>
      </c>
      <c r="AJ173" s="132">
        <f>IF(AN173=0,L173,0)</f>
        <v>0</v>
      </c>
      <c r="AK173" s="132">
        <f>IF(AN173=15,L173,0)</f>
        <v>0</v>
      </c>
      <c r="AL173" s="132">
        <f>IF(AN173=21,L173,0)</f>
        <v>0</v>
      </c>
      <c r="AN173" s="144">
        <v>21</v>
      </c>
      <c r="AO173" s="144">
        <f>K173*0.502105714285714</f>
        <v>0</v>
      </c>
      <c r="AP173" s="144">
        <f>K173*(1-0.502105714285714)</f>
        <v>0</v>
      </c>
      <c r="AQ173" s="145" t="s">
        <v>73</v>
      </c>
      <c r="AV173" s="144">
        <f>AW173+AX173</f>
        <v>0</v>
      </c>
      <c r="AW173" s="144">
        <f>J173*AO173</f>
        <v>0</v>
      </c>
      <c r="AX173" s="144">
        <f>J173*AP173</f>
        <v>0</v>
      </c>
      <c r="AY173" s="147" t="s">
        <v>406</v>
      </c>
      <c r="AZ173" s="147" t="s">
        <v>425</v>
      </c>
      <c r="BA173" s="143" t="s">
        <v>432</v>
      </c>
      <c r="BC173" s="144">
        <f>AW173+AX173</f>
        <v>0</v>
      </c>
      <c r="BD173" s="144">
        <f>K173/(100-BE173)*100</f>
        <v>0</v>
      </c>
      <c r="BE173" s="144">
        <v>0</v>
      </c>
      <c r="BF173" s="144">
        <f>173</f>
        <v>173</v>
      </c>
      <c r="BH173" s="132">
        <f>J173*AO173</f>
        <v>0</v>
      </c>
      <c r="BI173" s="132">
        <f>J173*AP173</f>
        <v>0</v>
      </c>
      <c r="BJ173" s="132">
        <f>J173*K173</f>
        <v>0</v>
      </c>
      <c r="BK173" s="132" t="s">
        <v>437</v>
      </c>
      <c r="BL173" s="144">
        <v>3</v>
      </c>
    </row>
    <row r="174" spans="1:13" ht="12.75" customHeight="1">
      <c r="A174" s="55"/>
      <c r="B174" s="107" t="s">
        <v>186</v>
      </c>
      <c r="C174" s="114" t="s">
        <v>292</v>
      </c>
      <c r="D174" s="122"/>
      <c r="E174" s="122"/>
      <c r="F174" s="122"/>
      <c r="G174" s="122"/>
      <c r="H174" s="122"/>
      <c r="I174" s="122"/>
      <c r="J174" s="122"/>
      <c r="K174" s="122"/>
      <c r="L174" s="142"/>
      <c r="M174" s="55"/>
    </row>
    <row r="175" spans="1:64" ht="12" customHeight="1">
      <c r="A175" s="96" t="s">
        <v>149</v>
      </c>
      <c r="B175" s="106" t="s">
        <v>242</v>
      </c>
      <c r="C175" s="106" t="s">
        <v>367</v>
      </c>
      <c r="D175" s="120"/>
      <c r="E175" s="120"/>
      <c r="F175" s="120"/>
      <c r="G175" s="120"/>
      <c r="H175" s="120"/>
      <c r="I175" s="106" t="s">
        <v>380</v>
      </c>
      <c r="J175" s="132">
        <v>0.5</v>
      </c>
      <c r="K175" s="132">
        <v>0</v>
      </c>
      <c r="L175" s="151">
        <f>J175*K175</f>
        <v>0</v>
      </c>
      <c r="M175" s="55"/>
      <c r="Z175" s="144">
        <f>IF(AQ175="5",BJ175,0)</f>
        <v>0</v>
      </c>
      <c r="AB175" s="144">
        <f>IF(AQ175="1",BH175,0)</f>
        <v>0</v>
      </c>
      <c r="AC175" s="144">
        <f>IF(AQ175="1",BI175,0)</f>
        <v>0</v>
      </c>
      <c r="AD175" s="144">
        <f>IF(AQ175="7",BH175,0)</f>
        <v>0</v>
      </c>
      <c r="AE175" s="144">
        <f>IF(AQ175="7",BI175,0)</f>
        <v>0</v>
      </c>
      <c r="AF175" s="144">
        <f>IF(AQ175="2",BH175,0)</f>
        <v>0</v>
      </c>
      <c r="AG175" s="144">
        <f>IF(AQ175="2",BI175,0)</f>
        <v>0</v>
      </c>
      <c r="AH175" s="144">
        <f>IF(AQ175="0",BJ175,0)</f>
        <v>0</v>
      </c>
      <c r="AI175" s="143" t="s">
        <v>402</v>
      </c>
      <c r="AJ175" s="132">
        <f>IF(AN175=0,L175,0)</f>
        <v>0</v>
      </c>
      <c r="AK175" s="132">
        <f>IF(AN175=15,L175,0)</f>
        <v>0</v>
      </c>
      <c r="AL175" s="132">
        <f>IF(AN175=21,L175,0)</f>
        <v>0</v>
      </c>
      <c r="AN175" s="144">
        <v>21</v>
      </c>
      <c r="AO175" s="144">
        <f>K175*0.430906048906049</f>
        <v>0</v>
      </c>
      <c r="AP175" s="144">
        <f>K175*(1-0.430906048906049)</f>
        <v>0</v>
      </c>
      <c r="AQ175" s="145" t="s">
        <v>73</v>
      </c>
      <c r="AV175" s="144">
        <f>AW175+AX175</f>
        <v>0</v>
      </c>
      <c r="AW175" s="144">
        <f>J175*AO175</f>
        <v>0</v>
      </c>
      <c r="AX175" s="144">
        <f>J175*AP175</f>
        <v>0</v>
      </c>
      <c r="AY175" s="147" t="s">
        <v>406</v>
      </c>
      <c r="AZ175" s="147" t="s">
        <v>425</v>
      </c>
      <c r="BA175" s="143" t="s">
        <v>432</v>
      </c>
      <c r="BC175" s="144">
        <f>AW175+AX175</f>
        <v>0</v>
      </c>
      <c r="BD175" s="144">
        <f>K175/(100-BE175)*100</f>
        <v>0</v>
      </c>
      <c r="BE175" s="144">
        <v>0</v>
      </c>
      <c r="BF175" s="144">
        <f>175</f>
        <v>175</v>
      </c>
      <c r="BH175" s="132">
        <f>J175*AO175</f>
        <v>0</v>
      </c>
      <c r="BI175" s="132">
        <f>J175*AP175</f>
        <v>0</v>
      </c>
      <c r="BJ175" s="132">
        <f>J175*K175</f>
        <v>0</v>
      </c>
      <c r="BK175" s="132" t="s">
        <v>437</v>
      </c>
      <c r="BL175" s="144">
        <v>3</v>
      </c>
    </row>
    <row r="176" spans="1:13" ht="12.75" customHeight="1">
      <c r="A176" s="55"/>
      <c r="B176" s="107" t="s">
        <v>186</v>
      </c>
      <c r="C176" s="114" t="s">
        <v>368</v>
      </c>
      <c r="D176" s="122"/>
      <c r="E176" s="122"/>
      <c r="F176" s="122"/>
      <c r="G176" s="122"/>
      <c r="H176" s="122"/>
      <c r="I176" s="122"/>
      <c r="J176" s="122"/>
      <c r="K176" s="122"/>
      <c r="L176" s="142"/>
      <c r="M176" s="55"/>
    </row>
    <row r="177" spans="1:47" ht="12" customHeight="1">
      <c r="A177" s="95"/>
      <c r="B177" s="105" t="s">
        <v>117</v>
      </c>
      <c r="C177" s="105" t="s">
        <v>293</v>
      </c>
      <c r="D177" s="119"/>
      <c r="E177" s="119"/>
      <c r="F177" s="119"/>
      <c r="G177" s="119"/>
      <c r="H177" s="119"/>
      <c r="I177" s="129" t="s">
        <v>72</v>
      </c>
      <c r="J177" s="129" t="s">
        <v>72</v>
      </c>
      <c r="K177" s="129" t="s">
        <v>72</v>
      </c>
      <c r="L177" s="150">
        <f>SUM(L178:L196)</f>
        <v>0</v>
      </c>
      <c r="M177" s="55"/>
      <c r="AI177" s="143" t="s">
        <v>402</v>
      </c>
      <c r="AS177" s="156">
        <f>SUM(AJ178:AJ196)</f>
        <v>0</v>
      </c>
      <c r="AT177" s="156">
        <f>SUM(AK178:AK196)</f>
        <v>0</v>
      </c>
      <c r="AU177" s="156">
        <f>SUM(AL178:AL196)</f>
        <v>0</v>
      </c>
    </row>
    <row r="178" spans="1:64" ht="12" customHeight="1">
      <c r="A178" s="96" t="s">
        <v>150</v>
      </c>
      <c r="B178" s="106" t="s">
        <v>206</v>
      </c>
      <c r="C178" s="106" t="s">
        <v>294</v>
      </c>
      <c r="D178" s="120"/>
      <c r="E178" s="120"/>
      <c r="F178" s="120"/>
      <c r="G178" s="120"/>
      <c r="H178" s="120"/>
      <c r="I178" s="106" t="s">
        <v>379</v>
      </c>
      <c r="J178" s="132">
        <v>58.5</v>
      </c>
      <c r="K178" s="132">
        <v>0</v>
      </c>
      <c r="L178" s="151">
        <f>J178*K178</f>
        <v>0</v>
      </c>
      <c r="M178" s="55"/>
      <c r="Z178" s="144">
        <f>IF(AQ178="5",BJ178,0)</f>
        <v>0</v>
      </c>
      <c r="AB178" s="144">
        <f>IF(AQ178="1",BH178,0)</f>
        <v>0</v>
      </c>
      <c r="AC178" s="144">
        <f>IF(AQ178="1",BI178,0)</f>
        <v>0</v>
      </c>
      <c r="AD178" s="144">
        <f>IF(AQ178="7",BH178,0)</f>
        <v>0</v>
      </c>
      <c r="AE178" s="144">
        <f>IF(AQ178="7",BI178,0)</f>
        <v>0</v>
      </c>
      <c r="AF178" s="144">
        <f>IF(AQ178="2",BH178,0)</f>
        <v>0</v>
      </c>
      <c r="AG178" s="144">
        <f>IF(AQ178="2",BI178,0)</f>
        <v>0</v>
      </c>
      <c r="AH178" s="144">
        <f>IF(AQ178="0",BJ178,0)</f>
        <v>0</v>
      </c>
      <c r="AI178" s="143" t="s">
        <v>402</v>
      </c>
      <c r="AJ178" s="132">
        <f>IF(AN178=0,L178,0)</f>
        <v>0</v>
      </c>
      <c r="AK178" s="132">
        <f>IF(AN178=15,L178,0)</f>
        <v>0</v>
      </c>
      <c r="AL178" s="132">
        <f>IF(AN178=21,L178,0)</f>
        <v>0</v>
      </c>
      <c r="AN178" s="144">
        <v>21</v>
      </c>
      <c r="AO178" s="144">
        <f>K178*0</f>
        <v>0</v>
      </c>
      <c r="AP178" s="144">
        <f>K178*(1-0)</f>
        <v>0</v>
      </c>
      <c r="AQ178" s="145" t="s">
        <v>73</v>
      </c>
      <c r="AV178" s="144">
        <f>AW178+AX178</f>
        <v>0</v>
      </c>
      <c r="AW178" s="144">
        <f>J178*AO178</f>
        <v>0</v>
      </c>
      <c r="AX178" s="144">
        <f>J178*AP178</f>
        <v>0</v>
      </c>
      <c r="AY178" s="147" t="s">
        <v>407</v>
      </c>
      <c r="AZ178" s="147" t="s">
        <v>426</v>
      </c>
      <c r="BA178" s="143" t="s">
        <v>432</v>
      </c>
      <c r="BC178" s="144">
        <f>AW178+AX178</f>
        <v>0</v>
      </c>
      <c r="BD178" s="144">
        <f>K178/(100-BE178)*100</f>
        <v>0</v>
      </c>
      <c r="BE178" s="144">
        <v>0</v>
      </c>
      <c r="BF178" s="144">
        <f>178</f>
        <v>178</v>
      </c>
      <c r="BH178" s="132">
        <f>J178*AO178</f>
        <v>0</v>
      </c>
      <c r="BI178" s="132">
        <f>J178*AP178</f>
        <v>0</v>
      </c>
      <c r="BJ178" s="132">
        <f>J178*K178</f>
        <v>0</v>
      </c>
      <c r="BK178" s="132" t="s">
        <v>437</v>
      </c>
      <c r="BL178" s="144">
        <v>45</v>
      </c>
    </row>
    <row r="179" spans="1:64" ht="12" customHeight="1">
      <c r="A179" s="96" t="s">
        <v>151</v>
      </c>
      <c r="B179" s="106" t="s">
        <v>207</v>
      </c>
      <c r="C179" s="106" t="s">
        <v>295</v>
      </c>
      <c r="D179" s="120"/>
      <c r="E179" s="120"/>
      <c r="F179" s="120"/>
      <c r="G179" s="120"/>
      <c r="H179" s="120"/>
      <c r="I179" s="106" t="s">
        <v>379</v>
      </c>
      <c r="J179" s="132">
        <v>26.25</v>
      </c>
      <c r="K179" s="132">
        <v>0</v>
      </c>
      <c r="L179" s="151">
        <f>J179*K179</f>
        <v>0</v>
      </c>
      <c r="M179" s="55"/>
      <c r="Z179" s="144">
        <f>IF(AQ179="5",BJ179,0)</f>
        <v>0</v>
      </c>
      <c r="AB179" s="144">
        <f>IF(AQ179="1",BH179,0)</f>
        <v>0</v>
      </c>
      <c r="AC179" s="144">
        <f>IF(AQ179="1",BI179,0)</f>
        <v>0</v>
      </c>
      <c r="AD179" s="144">
        <f>IF(AQ179="7",BH179,0)</f>
        <v>0</v>
      </c>
      <c r="AE179" s="144">
        <f>IF(AQ179="7",BI179,0)</f>
        <v>0</v>
      </c>
      <c r="AF179" s="144">
        <f>IF(AQ179="2",BH179,0)</f>
        <v>0</v>
      </c>
      <c r="AG179" s="144">
        <f>IF(AQ179="2",BI179,0)</f>
        <v>0</v>
      </c>
      <c r="AH179" s="144">
        <f>IF(AQ179="0",BJ179,0)</f>
        <v>0</v>
      </c>
      <c r="AI179" s="143" t="s">
        <v>402</v>
      </c>
      <c r="AJ179" s="132">
        <f>IF(AN179=0,L179,0)</f>
        <v>0</v>
      </c>
      <c r="AK179" s="132">
        <f>IF(AN179=15,L179,0)</f>
        <v>0</v>
      </c>
      <c r="AL179" s="132">
        <f>IF(AN179=21,L179,0)</f>
        <v>0</v>
      </c>
      <c r="AN179" s="144">
        <v>21</v>
      </c>
      <c r="AO179" s="144">
        <f>K179*0.862486153846154</f>
        <v>0</v>
      </c>
      <c r="AP179" s="144">
        <f>K179*(1-0.862486153846154)</f>
        <v>0</v>
      </c>
      <c r="AQ179" s="145" t="s">
        <v>73</v>
      </c>
      <c r="AV179" s="144">
        <f>AW179+AX179</f>
        <v>0</v>
      </c>
      <c r="AW179" s="144">
        <f>J179*AO179</f>
        <v>0</v>
      </c>
      <c r="AX179" s="144">
        <f>J179*AP179</f>
        <v>0</v>
      </c>
      <c r="AY179" s="147" t="s">
        <v>407</v>
      </c>
      <c r="AZ179" s="147" t="s">
        <v>426</v>
      </c>
      <c r="BA179" s="143" t="s">
        <v>432</v>
      </c>
      <c r="BC179" s="144">
        <f>AW179+AX179</f>
        <v>0</v>
      </c>
      <c r="BD179" s="144">
        <f>K179/(100-BE179)*100</f>
        <v>0</v>
      </c>
      <c r="BE179" s="144">
        <v>0</v>
      </c>
      <c r="BF179" s="144">
        <f>179</f>
        <v>179</v>
      </c>
      <c r="BH179" s="132">
        <f>J179*AO179</f>
        <v>0</v>
      </c>
      <c r="BI179" s="132">
        <f>J179*AP179</f>
        <v>0</v>
      </c>
      <c r="BJ179" s="132">
        <f>J179*K179</f>
        <v>0</v>
      </c>
      <c r="BK179" s="132" t="s">
        <v>437</v>
      </c>
      <c r="BL179" s="144">
        <v>45</v>
      </c>
    </row>
    <row r="180" spans="1:13" ht="63.75" customHeight="1">
      <c r="A180" s="55"/>
      <c r="B180" s="107" t="s">
        <v>186</v>
      </c>
      <c r="C180" s="114" t="s">
        <v>369</v>
      </c>
      <c r="D180" s="122"/>
      <c r="E180" s="122"/>
      <c r="F180" s="122"/>
      <c r="G180" s="122"/>
      <c r="H180" s="122"/>
      <c r="I180" s="122"/>
      <c r="J180" s="122"/>
      <c r="K180" s="122"/>
      <c r="L180" s="142"/>
      <c r="M180" s="55"/>
    </row>
    <row r="181" spans="1:64" ht="12" customHeight="1">
      <c r="A181" s="96" t="s">
        <v>152</v>
      </c>
      <c r="B181" s="106" t="s">
        <v>208</v>
      </c>
      <c r="C181" s="106" t="s">
        <v>297</v>
      </c>
      <c r="D181" s="120"/>
      <c r="E181" s="120"/>
      <c r="F181" s="120"/>
      <c r="G181" s="120"/>
      <c r="H181" s="120"/>
      <c r="I181" s="106" t="s">
        <v>379</v>
      </c>
      <c r="J181" s="132">
        <v>30</v>
      </c>
      <c r="K181" s="132">
        <v>0</v>
      </c>
      <c r="L181" s="151">
        <f>J181*K181</f>
        <v>0</v>
      </c>
      <c r="M181" s="55"/>
      <c r="Z181" s="144">
        <f>IF(AQ181="5",BJ181,0)</f>
        <v>0</v>
      </c>
      <c r="AB181" s="144">
        <f>IF(AQ181="1",BH181,0)</f>
        <v>0</v>
      </c>
      <c r="AC181" s="144">
        <f>IF(AQ181="1",BI181,0)</f>
        <v>0</v>
      </c>
      <c r="AD181" s="144">
        <f>IF(AQ181="7",BH181,0)</f>
        <v>0</v>
      </c>
      <c r="AE181" s="144">
        <f>IF(AQ181="7",BI181,0)</f>
        <v>0</v>
      </c>
      <c r="AF181" s="144">
        <f>IF(AQ181="2",BH181,0)</f>
        <v>0</v>
      </c>
      <c r="AG181" s="144">
        <f>IF(AQ181="2",BI181,0)</f>
        <v>0</v>
      </c>
      <c r="AH181" s="144">
        <f>IF(AQ181="0",BJ181,0)</f>
        <v>0</v>
      </c>
      <c r="AI181" s="143" t="s">
        <v>402</v>
      </c>
      <c r="AJ181" s="132">
        <f>IF(AN181=0,L181,0)</f>
        <v>0</v>
      </c>
      <c r="AK181" s="132">
        <f>IF(AN181=15,L181,0)</f>
        <v>0</v>
      </c>
      <c r="AL181" s="132">
        <f>IF(AN181=21,L181,0)</f>
        <v>0</v>
      </c>
      <c r="AN181" s="144">
        <v>21</v>
      </c>
      <c r="AO181" s="144">
        <f>K181*0.156042222222222</f>
        <v>0</v>
      </c>
      <c r="AP181" s="144">
        <f>K181*(1-0.156042222222222)</f>
        <v>0</v>
      </c>
      <c r="AQ181" s="145" t="s">
        <v>73</v>
      </c>
      <c r="AV181" s="144">
        <f>AW181+AX181</f>
        <v>0</v>
      </c>
      <c r="AW181" s="144">
        <f>J181*AO181</f>
        <v>0</v>
      </c>
      <c r="AX181" s="144">
        <f>J181*AP181</f>
        <v>0</v>
      </c>
      <c r="AY181" s="147" t="s">
        <v>407</v>
      </c>
      <c r="AZ181" s="147" t="s">
        <v>426</v>
      </c>
      <c r="BA181" s="143" t="s">
        <v>432</v>
      </c>
      <c r="BC181" s="144">
        <f>AW181+AX181</f>
        <v>0</v>
      </c>
      <c r="BD181" s="144">
        <f>K181/(100-BE181)*100</f>
        <v>0</v>
      </c>
      <c r="BE181" s="144">
        <v>0</v>
      </c>
      <c r="BF181" s="144">
        <f>181</f>
        <v>181</v>
      </c>
      <c r="BH181" s="132">
        <f>J181*AO181</f>
        <v>0</v>
      </c>
      <c r="BI181" s="132">
        <f>J181*AP181</f>
        <v>0</v>
      </c>
      <c r="BJ181" s="132">
        <f>J181*K181</f>
        <v>0</v>
      </c>
      <c r="BK181" s="132" t="s">
        <v>437</v>
      </c>
      <c r="BL181" s="144">
        <v>45</v>
      </c>
    </row>
    <row r="182" spans="1:13" ht="12.75" customHeight="1">
      <c r="A182" s="55"/>
      <c r="B182" s="107" t="s">
        <v>186</v>
      </c>
      <c r="C182" s="114" t="s">
        <v>298</v>
      </c>
      <c r="D182" s="122"/>
      <c r="E182" s="122"/>
      <c r="F182" s="122"/>
      <c r="G182" s="122"/>
      <c r="H182" s="122"/>
      <c r="I182" s="122"/>
      <c r="J182" s="122"/>
      <c r="K182" s="122"/>
      <c r="L182" s="142"/>
      <c r="M182" s="55"/>
    </row>
    <row r="183" spans="1:64" ht="12" customHeight="1">
      <c r="A183" s="96" t="s">
        <v>153</v>
      </c>
      <c r="B183" s="106" t="s">
        <v>209</v>
      </c>
      <c r="C183" s="106" t="s">
        <v>299</v>
      </c>
      <c r="D183" s="120"/>
      <c r="E183" s="120"/>
      <c r="F183" s="120"/>
      <c r="G183" s="120"/>
      <c r="H183" s="120"/>
      <c r="I183" s="106" t="s">
        <v>379</v>
      </c>
      <c r="J183" s="132">
        <v>8.25</v>
      </c>
      <c r="K183" s="132">
        <v>0</v>
      </c>
      <c r="L183" s="151">
        <f>J183*K183</f>
        <v>0</v>
      </c>
      <c r="M183" s="55"/>
      <c r="Z183" s="144">
        <f>IF(AQ183="5",BJ183,0)</f>
        <v>0</v>
      </c>
      <c r="AB183" s="144">
        <f>IF(AQ183="1",BH183,0)</f>
        <v>0</v>
      </c>
      <c r="AC183" s="144">
        <f>IF(AQ183="1",BI183,0)</f>
        <v>0</v>
      </c>
      <c r="AD183" s="144">
        <f>IF(AQ183="7",BH183,0)</f>
        <v>0</v>
      </c>
      <c r="AE183" s="144">
        <f>IF(AQ183="7",BI183,0)</f>
        <v>0</v>
      </c>
      <c r="AF183" s="144">
        <f>IF(AQ183="2",BH183,0)</f>
        <v>0</v>
      </c>
      <c r="AG183" s="144">
        <f>IF(AQ183="2",BI183,0)</f>
        <v>0</v>
      </c>
      <c r="AH183" s="144">
        <f>IF(AQ183="0",BJ183,0)</f>
        <v>0</v>
      </c>
      <c r="AI183" s="143" t="s">
        <v>402</v>
      </c>
      <c r="AJ183" s="132">
        <f>IF(AN183=0,L183,0)</f>
        <v>0</v>
      </c>
      <c r="AK183" s="132">
        <f>IF(AN183=15,L183,0)</f>
        <v>0</v>
      </c>
      <c r="AL183" s="132">
        <f>IF(AN183=21,L183,0)</f>
        <v>0</v>
      </c>
      <c r="AN183" s="144">
        <v>21</v>
      </c>
      <c r="AO183" s="144">
        <f>K183*0.701080991735537</f>
        <v>0</v>
      </c>
      <c r="AP183" s="144">
        <f>K183*(1-0.701080991735537)</f>
        <v>0</v>
      </c>
      <c r="AQ183" s="145" t="s">
        <v>73</v>
      </c>
      <c r="AV183" s="144">
        <f>AW183+AX183</f>
        <v>0</v>
      </c>
      <c r="AW183" s="144">
        <f>J183*AO183</f>
        <v>0</v>
      </c>
      <c r="AX183" s="144">
        <f>J183*AP183</f>
        <v>0</v>
      </c>
      <c r="AY183" s="147" t="s">
        <v>407</v>
      </c>
      <c r="AZ183" s="147" t="s">
        <v>426</v>
      </c>
      <c r="BA183" s="143" t="s">
        <v>432</v>
      </c>
      <c r="BC183" s="144">
        <f>AW183+AX183</f>
        <v>0</v>
      </c>
      <c r="BD183" s="144">
        <f>K183/(100-BE183)*100</f>
        <v>0</v>
      </c>
      <c r="BE183" s="144">
        <v>0</v>
      </c>
      <c r="BF183" s="144">
        <f>183</f>
        <v>183</v>
      </c>
      <c r="BH183" s="132">
        <f>J183*AO183</f>
        <v>0</v>
      </c>
      <c r="BI183" s="132">
        <f>J183*AP183</f>
        <v>0</v>
      </c>
      <c r="BJ183" s="132">
        <f>J183*K183</f>
        <v>0</v>
      </c>
      <c r="BK183" s="132" t="s">
        <v>437</v>
      </c>
      <c r="BL183" s="144">
        <v>45</v>
      </c>
    </row>
    <row r="184" spans="1:13" ht="25.5" customHeight="1">
      <c r="A184" s="55"/>
      <c r="B184" s="107" t="s">
        <v>186</v>
      </c>
      <c r="C184" s="114" t="s">
        <v>300</v>
      </c>
      <c r="D184" s="122"/>
      <c r="E184" s="122"/>
      <c r="F184" s="122"/>
      <c r="G184" s="122"/>
      <c r="H184" s="122"/>
      <c r="I184" s="122"/>
      <c r="J184" s="122"/>
      <c r="K184" s="122"/>
      <c r="L184" s="142"/>
      <c r="M184" s="55"/>
    </row>
    <row r="185" spans="1:64" ht="12" customHeight="1">
      <c r="A185" s="96" t="s">
        <v>154</v>
      </c>
      <c r="B185" s="106" t="s">
        <v>210</v>
      </c>
      <c r="C185" s="106" t="s">
        <v>301</v>
      </c>
      <c r="D185" s="120"/>
      <c r="E185" s="120"/>
      <c r="F185" s="120"/>
      <c r="G185" s="120"/>
      <c r="H185" s="120"/>
      <c r="I185" s="106" t="s">
        <v>381</v>
      </c>
      <c r="J185" s="132">
        <v>17.5</v>
      </c>
      <c r="K185" s="132">
        <v>0</v>
      </c>
      <c r="L185" s="151">
        <f>J185*K185</f>
        <v>0</v>
      </c>
      <c r="M185" s="55"/>
      <c r="Z185" s="144">
        <f>IF(AQ185="5",BJ185,0)</f>
        <v>0</v>
      </c>
      <c r="AB185" s="144">
        <f>IF(AQ185="1",BH185,0)</f>
        <v>0</v>
      </c>
      <c r="AC185" s="144">
        <f>IF(AQ185="1",BI185,0)</f>
        <v>0</v>
      </c>
      <c r="AD185" s="144">
        <f>IF(AQ185="7",BH185,0)</f>
        <v>0</v>
      </c>
      <c r="AE185" s="144">
        <f>IF(AQ185="7",BI185,0)</f>
        <v>0</v>
      </c>
      <c r="AF185" s="144">
        <f>IF(AQ185="2",BH185,0)</f>
        <v>0</v>
      </c>
      <c r="AG185" s="144">
        <f>IF(AQ185="2",BI185,0)</f>
        <v>0</v>
      </c>
      <c r="AH185" s="144">
        <f>IF(AQ185="0",BJ185,0)</f>
        <v>0</v>
      </c>
      <c r="AI185" s="143" t="s">
        <v>402</v>
      </c>
      <c r="AJ185" s="132">
        <f>IF(AN185=0,L185,0)</f>
        <v>0</v>
      </c>
      <c r="AK185" s="132">
        <f>IF(AN185=15,L185,0)</f>
        <v>0</v>
      </c>
      <c r="AL185" s="132">
        <f>IF(AN185=21,L185,0)</f>
        <v>0</v>
      </c>
      <c r="AN185" s="144">
        <v>21</v>
      </c>
      <c r="AO185" s="144">
        <f>K185*0.712869583333333</f>
        <v>0</v>
      </c>
      <c r="AP185" s="144">
        <f>K185*(1-0.712869583333333)</f>
        <v>0</v>
      </c>
      <c r="AQ185" s="145" t="s">
        <v>73</v>
      </c>
      <c r="AV185" s="144">
        <f>AW185+AX185</f>
        <v>0</v>
      </c>
      <c r="AW185" s="144">
        <f>J185*AO185</f>
        <v>0</v>
      </c>
      <c r="AX185" s="144">
        <f>J185*AP185</f>
        <v>0</v>
      </c>
      <c r="AY185" s="147" t="s">
        <v>407</v>
      </c>
      <c r="AZ185" s="147" t="s">
        <v>426</v>
      </c>
      <c r="BA185" s="143" t="s">
        <v>432</v>
      </c>
      <c r="BC185" s="144">
        <f>AW185+AX185</f>
        <v>0</v>
      </c>
      <c r="BD185" s="144">
        <f>K185/(100-BE185)*100</f>
        <v>0</v>
      </c>
      <c r="BE185" s="144">
        <v>0</v>
      </c>
      <c r="BF185" s="144">
        <f>185</f>
        <v>185</v>
      </c>
      <c r="BH185" s="132">
        <f>J185*AO185</f>
        <v>0</v>
      </c>
      <c r="BI185" s="132">
        <f>J185*AP185</f>
        <v>0</v>
      </c>
      <c r="BJ185" s="132">
        <f>J185*K185</f>
        <v>0</v>
      </c>
      <c r="BK185" s="132" t="s">
        <v>437</v>
      </c>
      <c r="BL185" s="144">
        <v>45</v>
      </c>
    </row>
    <row r="186" spans="1:13" ht="12.75" customHeight="1">
      <c r="A186" s="55"/>
      <c r="B186" s="107" t="s">
        <v>186</v>
      </c>
      <c r="C186" s="114" t="s">
        <v>302</v>
      </c>
      <c r="D186" s="122"/>
      <c r="E186" s="122"/>
      <c r="F186" s="122"/>
      <c r="G186" s="122"/>
      <c r="H186" s="122"/>
      <c r="I186" s="122"/>
      <c r="J186" s="122"/>
      <c r="K186" s="122"/>
      <c r="L186" s="142"/>
      <c r="M186" s="55"/>
    </row>
    <row r="187" spans="1:64" ht="12" customHeight="1">
      <c r="A187" s="96" t="s">
        <v>155</v>
      </c>
      <c r="B187" s="106" t="s">
        <v>211</v>
      </c>
      <c r="C187" s="106" t="s">
        <v>303</v>
      </c>
      <c r="D187" s="120"/>
      <c r="E187" s="120"/>
      <c r="F187" s="120"/>
      <c r="G187" s="120"/>
      <c r="H187" s="120"/>
      <c r="I187" s="106" t="s">
        <v>379</v>
      </c>
      <c r="J187" s="132">
        <v>5</v>
      </c>
      <c r="K187" s="132">
        <v>0</v>
      </c>
      <c r="L187" s="151">
        <f>J187*K187</f>
        <v>0</v>
      </c>
      <c r="M187" s="55"/>
      <c r="Z187" s="144">
        <f>IF(AQ187="5",BJ187,0)</f>
        <v>0</v>
      </c>
      <c r="AB187" s="144">
        <f>IF(AQ187="1",BH187,0)</f>
        <v>0</v>
      </c>
      <c r="AC187" s="144">
        <f>IF(AQ187="1",BI187,0)</f>
        <v>0</v>
      </c>
      <c r="AD187" s="144">
        <f>IF(AQ187="7",BH187,0)</f>
        <v>0</v>
      </c>
      <c r="AE187" s="144">
        <f>IF(AQ187="7",BI187,0)</f>
        <v>0</v>
      </c>
      <c r="AF187" s="144">
        <f>IF(AQ187="2",BH187,0)</f>
        <v>0</v>
      </c>
      <c r="AG187" s="144">
        <f>IF(AQ187="2",BI187,0)</f>
        <v>0</v>
      </c>
      <c r="AH187" s="144">
        <f>IF(AQ187="0",BJ187,0)</f>
        <v>0</v>
      </c>
      <c r="AI187" s="143" t="s">
        <v>402</v>
      </c>
      <c r="AJ187" s="132">
        <f>IF(AN187=0,L187,0)</f>
        <v>0</v>
      </c>
      <c r="AK187" s="132">
        <f>IF(AN187=15,L187,0)</f>
        <v>0</v>
      </c>
      <c r="AL187" s="132">
        <f>IF(AN187=21,L187,0)</f>
        <v>0</v>
      </c>
      <c r="AN187" s="144">
        <v>21</v>
      </c>
      <c r="AO187" s="144">
        <f>K187*0.669037142082543</f>
        <v>0</v>
      </c>
      <c r="AP187" s="144">
        <f>K187*(1-0.669037142082543)</f>
        <v>0</v>
      </c>
      <c r="AQ187" s="145" t="s">
        <v>73</v>
      </c>
      <c r="AV187" s="144">
        <f>AW187+AX187</f>
        <v>0</v>
      </c>
      <c r="AW187" s="144">
        <f>J187*AO187</f>
        <v>0</v>
      </c>
      <c r="AX187" s="144">
        <f>J187*AP187</f>
        <v>0</v>
      </c>
      <c r="AY187" s="147" t="s">
        <v>407</v>
      </c>
      <c r="AZ187" s="147" t="s">
        <v>426</v>
      </c>
      <c r="BA187" s="143" t="s">
        <v>432</v>
      </c>
      <c r="BC187" s="144">
        <f>AW187+AX187</f>
        <v>0</v>
      </c>
      <c r="BD187" s="144">
        <f>K187/(100-BE187)*100</f>
        <v>0</v>
      </c>
      <c r="BE187" s="144">
        <v>0</v>
      </c>
      <c r="BF187" s="144">
        <f>187</f>
        <v>187</v>
      </c>
      <c r="BH187" s="132">
        <f>J187*AO187</f>
        <v>0</v>
      </c>
      <c r="BI187" s="132">
        <f>J187*AP187</f>
        <v>0</v>
      </c>
      <c r="BJ187" s="132">
        <f>J187*K187</f>
        <v>0</v>
      </c>
      <c r="BK187" s="132" t="s">
        <v>437</v>
      </c>
      <c r="BL187" s="144">
        <v>45</v>
      </c>
    </row>
    <row r="188" spans="1:13" ht="12.75" customHeight="1">
      <c r="A188" s="55"/>
      <c r="B188" s="107" t="s">
        <v>186</v>
      </c>
      <c r="C188" s="114" t="s">
        <v>304</v>
      </c>
      <c r="D188" s="122"/>
      <c r="E188" s="122"/>
      <c r="F188" s="122"/>
      <c r="G188" s="122"/>
      <c r="H188" s="122"/>
      <c r="I188" s="122"/>
      <c r="J188" s="122"/>
      <c r="K188" s="122"/>
      <c r="L188" s="142"/>
      <c r="M188" s="55"/>
    </row>
    <row r="189" spans="1:13" ht="51" customHeight="1">
      <c r="A189" s="55"/>
      <c r="B189" s="107" t="s">
        <v>184</v>
      </c>
      <c r="C189" s="113" t="s">
        <v>305</v>
      </c>
      <c r="D189" s="121"/>
      <c r="E189" s="121"/>
      <c r="F189" s="121"/>
      <c r="G189" s="121"/>
      <c r="H189" s="121"/>
      <c r="I189" s="121"/>
      <c r="J189" s="121"/>
      <c r="K189" s="121"/>
      <c r="L189" s="141"/>
      <c r="M189" s="55"/>
    </row>
    <row r="190" spans="1:64" ht="12" customHeight="1">
      <c r="A190" s="96" t="s">
        <v>156</v>
      </c>
      <c r="B190" s="106" t="s">
        <v>212</v>
      </c>
      <c r="C190" s="106" t="s">
        <v>306</v>
      </c>
      <c r="D190" s="120"/>
      <c r="E190" s="120"/>
      <c r="F190" s="120"/>
      <c r="G190" s="120"/>
      <c r="H190" s="120"/>
      <c r="I190" s="106" t="s">
        <v>381</v>
      </c>
      <c r="J190" s="132">
        <v>20</v>
      </c>
      <c r="K190" s="132">
        <v>0</v>
      </c>
      <c r="L190" s="151">
        <f>J190*K190</f>
        <v>0</v>
      </c>
      <c r="M190" s="55"/>
      <c r="Z190" s="144">
        <f>IF(AQ190="5",BJ190,0)</f>
        <v>0</v>
      </c>
      <c r="AB190" s="144">
        <f>IF(AQ190="1",BH190,0)</f>
        <v>0</v>
      </c>
      <c r="AC190" s="144">
        <f>IF(AQ190="1",BI190,0)</f>
        <v>0</v>
      </c>
      <c r="AD190" s="144">
        <f>IF(AQ190="7",BH190,0)</f>
        <v>0</v>
      </c>
      <c r="AE190" s="144">
        <f>IF(AQ190="7",BI190,0)</f>
        <v>0</v>
      </c>
      <c r="AF190" s="144">
        <f>IF(AQ190="2",BH190,0)</f>
        <v>0</v>
      </c>
      <c r="AG190" s="144">
        <f>IF(AQ190="2",BI190,0)</f>
        <v>0</v>
      </c>
      <c r="AH190" s="144">
        <f>IF(AQ190="0",BJ190,0)</f>
        <v>0</v>
      </c>
      <c r="AI190" s="143" t="s">
        <v>402</v>
      </c>
      <c r="AJ190" s="132">
        <f>IF(AN190=0,L190,0)</f>
        <v>0</v>
      </c>
      <c r="AK190" s="132">
        <f>IF(AN190=15,L190,0)</f>
        <v>0</v>
      </c>
      <c r="AL190" s="132">
        <f>IF(AN190=21,L190,0)</f>
        <v>0</v>
      </c>
      <c r="AN190" s="144">
        <v>21</v>
      </c>
      <c r="AO190" s="144">
        <f>K190*0.285369261477046</f>
        <v>0</v>
      </c>
      <c r="AP190" s="144">
        <f>K190*(1-0.285369261477046)</f>
        <v>0</v>
      </c>
      <c r="AQ190" s="145" t="s">
        <v>73</v>
      </c>
      <c r="AV190" s="144">
        <f>AW190+AX190</f>
        <v>0</v>
      </c>
      <c r="AW190" s="144">
        <f>J190*AO190</f>
        <v>0</v>
      </c>
      <c r="AX190" s="144">
        <f>J190*AP190</f>
        <v>0</v>
      </c>
      <c r="AY190" s="147" t="s">
        <v>407</v>
      </c>
      <c r="AZ190" s="147" t="s">
        <v>426</v>
      </c>
      <c r="BA190" s="143" t="s">
        <v>432</v>
      </c>
      <c r="BC190" s="144">
        <f>AW190+AX190</f>
        <v>0</v>
      </c>
      <c r="BD190" s="144">
        <f>K190/(100-BE190)*100</f>
        <v>0</v>
      </c>
      <c r="BE190" s="144">
        <v>0</v>
      </c>
      <c r="BF190" s="144">
        <f>190</f>
        <v>190</v>
      </c>
      <c r="BH190" s="132">
        <f>J190*AO190</f>
        <v>0</v>
      </c>
      <c r="BI190" s="132">
        <f>J190*AP190</f>
        <v>0</v>
      </c>
      <c r="BJ190" s="132">
        <f>J190*K190</f>
        <v>0</v>
      </c>
      <c r="BK190" s="132" t="s">
        <v>437</v>
      </c>
      <c r="BL190" s="144">
        <v>45</v>
      </c>
    </row>
    <row r="191" spans="1:13" ht="12.75" customHeight="1">
      <c r="A191" s="55"/>
      <c r="B191" s="107" t="s">
        <v>186</v>
      </c>
      <c r="C191" s="114" t="s">
        <v>307</v>
      </c>
      <c r="D191" s="122"/>
      <c r="E191" s="122"/>
      <c r="F191" s="122"/>
      <c r="G191" s="122"/>
      <c r="H191" s="122"/>
      <c r="I191" s="122"/>
      <c r="J191" s="122"/>
      <c r="K191" s="122"/>
      <c r="L191" s="142"/>
      <c r="M191" s="55"/>
    </row>
    <row r="192" spans="1:13" ht="25.5" customHeight="1">
      <c r="A192" s="55"/>
      <c r="B192" s="107" t="s">
        <v>184</v>
      </c>
      <c r="C192" s="113" t="s">
        <v>308</v>
      </c>
      <c r="D192" s="121"/>
      <c r="E192" s="121"/>
      <c r="F192" s="121"/>
      <c r="G192" s="121"/>
      <c r="H192" s="121"/>
      <c r="I192" s="121"/>
      <c r="J192" s="121"/>
      <c r="K192" s="121"/>
      <c r="L192" s="141"/>
      <c r="M192" s="55"/>
    </row>
    <row r="193" spans="1:64" ht="12" customHeight="1">
      <c r="A193" s="96" t="s">
        <v>157</v>
      </c>
      <c r="B193" s="106" t="s">
        <v>213</v>
      </c>
      <c r="C193" s="106" t="s">
        <v>309</v>
      </c>
      <c r="D193" s="120"/>
      <c r="E193" s="120"/>
      <c r="F193" s="120"/>
      <c r="G193" s="120"/>
      <c r="H193" s="120"/>
      <c r="I193" s="106" t="s">
        <v>380</v>
      </c>
      <c r="J193" s="132">
        <v>0.75</v>
      </c>
      <c r="K193" s="132">
        <v>0</v>
      </c>
      <c r="L193" s="151">
        <f>J193*K193</f>
        <v>0</v>
      </c>
      <c r="M193" s="55"/>
      <c r="Z193" s="144">
        <f>IF(AQ193="5",BJ193,0)</f>
        <v>0</v>
      </c>
      <c r="AB193" s="144">
        <f>IF(AQ193="1",BH193,0)</f>
        <v>0</v>
      </c>
      <c r="AC193" s="144">
        <f>IF(AQ193="1",BI193,0)</f>
        <v>0</v>
      </c>
      <c r="AD193" s="144">
        <f>IF(AQ193="7",BH193,0)</f>
        <v>0</v>
      </c>
      <c r="AE193" s="144">
        <f>IF(AQ193="7",BI193,0)</f>
        <v>0</v>
      </c>
      <c r="AF193" s="144">
        <f>IF(AQ193="2",BH193,0)</f>
        <v>0</v>
      </c>
      <c r="AG193" s="144">
        <f>IF(AQ193="2",BI193,0)</f>
        <v>0</v>
      </c>
      <c r="AH193" s="144">
        <f>IF(AQ193="0",BJ193,0)</f>
        <v>0</v>
      </c>
      <c r="AI193" s="143" t="s">
        <v>402</v>
      </c>
      <c r="AJ193" s="132">
        <f>IF(AN193=0,L193,0)</f>
        <v>0</v>
      </c>
      <c r="AK193" s="132">
        <f>IF(AN193=15,L193,0)</f>
        <v>0</v>
      </c>
      <c r="AL193" s="132">
        <f>IF(AN193=21,L193,0)</f>
        <v>0</v>
      </c>
      <c r="AN193" s="144">
        <v>21</v>
      </c>
      <c r="AO193" s="144">
        <f>K193*0.452986581290503</f>
        <v>0</v>
      </c>
      <c r="AP193" s="144">
        <f>K193*(1-0.452986581290503)</f>
        <v>0</v>
      </c>
      <c r="AQ193" s="145" t="s">
        <v>73</v>
      </c>
      <c r="AV193" s="144">
        <f>AW193+AX193</f>
        <v>0</v>
      </c>
      <c r="AW193" s="144">
        <f>J193*AO193</f>
        <v>0</v>
      </c>
      <c r="AX193" s="144">
        <f>J193*AP193</f>
        <v>0</v>
      </c>
      <c r="AY193" s="147" t="s">
        <v>407</v>
      </c>
      <c r="AZ193" s="147" t="s">
        <v>426</v>
      </c>
      <c r="BA193" s="143" t="s">
        <v>432</v>
      </c>
      <c r="BC193" s="144">
        <f>AW193+AX193</f>
        <v>0</v>
      </c>
      <c r="BD193" s="144">
        <f>K193/(100-BE193)*100</f>
        <v>0</v>
      </c>
      <c r="BE193" s="144">
        <v>0</v>
      </c>
      <c r="BF193" s="144">
        <f>193</f>
        <v>193</v>
      </c>
      <c r="BH193" s="132">
        <f>J193*AO193</f>
        <v>0</v>
      </c>
      <c r="BI193" s="132">
        <f>J193*AP193</f>
        <v>0</v>
      </c>
      <c r="BJ193" s="132">
        <f>J193*K193</f>
        <v>0</v>
      </c>
      <c r="BK193" s="132" t="s">
        <v>437</v>
      </c>
      <c r="BL193" s="144">
        <v>45</v>
      </c>
    </row>
    <row r="194" spans="1:13" ht="25.5" customHeight="1">
      <c r="A194" s="55"/>
      <c r="B194" s="107" t="s">
        <v>186</v>
      </c>
      <c r="C194" s="114" t="s">
        <v>310</v>
      </c>
      <c r="D194" s="122"/>
      <c r="E194" s="122"/>
      <c r="F194" s="122"/>
      <c r="G194" s="122"/>
      <c r="H194" s="122"/>
      <c r="I194" s="122"/>
      <c r="J194" s="122"/>
      <c r="K194" s="122"/>
      <c r="L194" s="142"/>
      <c r="M194" s="55"/>
    </row>
    <row r="195" spans="1:64" ht="12" customHeight="1">
      <c r="A195" s="96" t="s">
        <v>158</v>
      </c>
      <c r="B195" s="106" t="s">
        <v>214</v>
      </c>
      <c r="C195" s="106" t="s">
        <v>311</v>
      </c>
      <c r="D195" s="120"/>
      <c r="E195" s="120"/>
      <c r="F195" s="120"/>
      <c r="G195" s="120"/>
      <c r="H195" s="120"/>
      <c r="I195" s="106" t="s">
        <v>379</v>
      </c>
      <c r="J195" s="132">
        <v>12.5</v>
      </c>
      <c r="K195" s="132">
        <v>0</v>
      </c>
      <c r="L195" s="151">
        <f>J195*K195</f>
        <v>0</v>
      </c>
      <c r="M195" s="55"/>
      <c r="Z195" s="144">
        <f>IF(AQ195="5",BJ195,0)</f>
        <v>0</v>
      </c>
      <c r="AB195" s="144">
        <f>IF(AQ195="1",BH195,0)</f>
        <v>0</v>
      </c>
      <c r="AC195" s="144">
        <f>IF(AQ195="1",BI195,0)</f>
        <v>0</v>
      </c>
      <c r="AD195" s="144">
        <f>IF(AQ195="7",BH195,0)</f>
        <v>0</v>
      </c>
      <c r="AE195" s="144">
        <f>IF(AQ195="7",BI195,0)</f>
        <v>0</v>
      </c>
      <c r="AF195" s="144">
        <f>IF(AQ195="2",BH195,0)</f>
        <v>0</v>
      </c>
      <c r="AG195" s="144">
        <f>IF(AQ195="2",BI195,0)</f>
        <v>0</v>
      </c>
      <c r="AH195" s="144">
        <f>IF(AQ195="0",BJ195,0)</f>
        <v>0</v>
      </c>
      <c r="AI195" s="143" t="s">
        <v>402</v>
      </c>
      <c r="AJ195" s="132">
        <f>IF(AN195=0,L195,0)</f>
        <v>0</v>
      </c>
      <c r="AK195" s="132">
        <f>IF(AN195=15,L195,0)</f>
        <v>0</v>
      </c>
      <c r="AL195" s="132">
        <f>IF(AN195=21,L195,0)</f>
        <v>0</v>
      </c>
      <c r="AN195" s="144">
        <v>21</v>
      </c>
      <c r="AO195" s="144">
        <f>K195*0.0453791272606604</f>
        <v>0</v>
      </c>
      <c r="AP195" s="144">
        <f>K195*(1-0.0453791272606604)</f>
        <v>0</v>
      </c>
      <c r="AQ195" s="145" t="s">
        <v>73</v>
      </c>
      <c r="AV195" s="144">
        <f>AW195+AX195</f>
        <v>0</v>
      </c>
      <c r="AW195" s="144">
        <f>J195*AO195</f>
        <v>0</v>
      </c>
      <c r="AX195" s="144">
        <f>J195*AP195</f>
        <v>0</v>
      </c>
      <c r="AY195" s="147" t="s">
        <v>407</v>
      </c>
      <c r="AZ195" s="147" t="s">
        <v>426</v>
      </c>
      <c r="BA195" s="143" t="s">
        <v>432</v>
      </c>
      <c r="BC195" s="144">
        <f>AW195+AX195</f>
        <v>0</v>
      </c>
      <c r="BD195" s="144">
        <f>K195/(100-BE195)*100</f>
        <v>0</v>
      </c>
      <c r="BE195" s="144">
        <v>0</v>
      </c>
      <c r="BF195" s="144">
        <f>195</f>
        <v>195</v>
      </c>
      <c r="BH195" s="132">
        <f>J195*AO195</f>
        <v>0</v>
      </c>
      <c r="BI195" s="132">
        <f>J195*AP195</f>
        <v>0</v>
      </c>
      <c r="BJ195" s="132">
        <f>J195*K195</f>
        <v>0</v>
      </c>
      <c r="BK195" s="132" t="s">
        <v>437</v>
      </c>
      <c r="BL195" s="144">
        <v>45</v>
      </c>
    </row>
    <row r="196" spans="1:64" ht="12" customHeight="1">
      <c r="A196" s="96" t="s">
        <v>159</v>
      </c>
      <c r="B196" s="106" t="s">
        <v>215</v>
      </c>
      <c r="C196" s="106" t="s">
        <v>312</v>
      </c>
      <c r="D196" s="120"/>
      <c r="E196" s="120"/>
      <c r="F196" s="120"/>
      <c r="G196" s="120"/>
      <c r="H196" s="120"/>
      <c r="I196" s="106" t="s">
        <v>379</v>
      </c>
      <c r="J196" s="132">
        <v>12.5</v>
      </c>
      <c r="K196" s="132">
        <v>0</v>
      </c>
      <c r="L196" s="151">
        <f>J196*K196</f>
        <v>0</v>
      </c>
      <c r="M196" s="55"/>
      <c r="Z196" s="144">
        <f>IF(AQ196="5",BJ196,0)</f>
        <v>0</v>
      </c>
      <c r="AB196" s="144">
        <f>IF(AQ196="1",BH196,0)</f>
        <v>0</v>
      </c>
      <c r="AC196" s="144">
        <f>IF(AQ196="1",BI196,0)</f>
        <v>0</v>
      </c>
      <c r="AD196" s="144">
        <f>IF(AQ196="7",BH196,0)</f>
        <v>0</v>
      </c>
      <c r="AE196" s="144">
        <f>IF(AQ196="7",BI196,0)</f>
        <v>0</v>
      </c>
      <c r="AF196" s="144">
        <f>IF(AQ196="2",BH196,0)</f>
        <v>0</v>
      </c>
      <c r="AG196" s="144">
        <f>IF(AQ196="2",BI196,0)</f>
        <v>0</v>
      </c>
      <c r="AH196" s="144">
        <f>IF(AQ196="0",BJ196,0)</f>
        <v>0</v>
      </c>
      <c r="AI196" s="143" t="s">
        <v>402</v>
      </c>
      <c r="AJ196" s="132">
        <f>IF(AN196=0,L196,0)</f>
        <v>0</v>
      </c>
      <c r="AK196" s="132">
        <f>IF(AN196=15,L196,0)</f>
        <v>0</v>
      </c>
      <c r="AL196" s="132">
        <f>IF(AN196=21,L196,0)</f>
        <v>0</v>
      </c>
      <c r="AN196" s="144">
        <v>21</v>
      </c>
      <c r="AO196" s="144">
        <f>K196*0.187545787545788</f>
        <v>0</v>
      </c>
      <c r="AP196" s="144">
        <f>K196*(1-0.187545787545788)</f>
        <v>0</v>
      </c>
      <c r="AQ196" s="145" t="s">
        <v>73</v>
      </c>
      <c r="AV196" s="144">
        <f>AW196+AX196</f>
        <v>0</v>
      </c>
      <c r="AW196" s="144">
        <f>J196*AO196</f>
        <v>0</v>
      </c>
      <c r="AX196" s="144">
        <f>J196*AP196</f>
        <v>0</v>
      </c>
      <c r="AY196" s="147" t="s">
        <v>407</v>
      </c>
      <c r="AZ196" s="147" t="s">
        <v>426</v>
      </c>
      <c r="BA196" s="143" t="s">
        <v>432</v>
      </c>
      <c r="BC196" s="144">
        <f>AW196+AX196</f>
        <v>0</v>
      </c>
      <c r="BD196" s="144">
        <f>K196/(100-BE196)*100</f>
        <v>0</v>
      </c>
      <c r="BE196" s="144">
        <v>0</v>
      </c>
      <c r="BF196" s="144">
        <f>196</f>
        <v>196</v>
      </c>
      <c r="BH196" s="132">
        <f>J196*AO196</f>
        <v>0</v>
      </c>
      <c r="BI196" s="132">
        <f>J196*AP196</f>
        <v>0</v>
      </c>
      <c r="BJ196" s="132">
        <f>J196*K196</f>
        <v>0</v>
      </c>
      <c r="BK196" s="132" t="s">
        <v>437</v>
      </c>
      <c r="BL196" s="144">
        <v>45</v>
      </c>
    </row>
    <row r="197" spans="1:13" ht="25.5" customHeight="1">
      <c r="A197" s="55"/>
      <c r="B197" s="107" t="s">
        <v>184</v>
      </c>
      <c r="C197" s="113" t="s">
        <v>313</v>
      </c>
      <c r="D197" s="121"/>
      <c r="E197" s="121"/>
      <c r="F197" s="121"/>
      <c r="G197" s="121"/>
      <c r="H197" s="121"/>
      <c r="I197" s="121"/>
      <c r="J197" s="121"/>
      <c r="K197" s="121"/>
      <c r="L197" s="141"/>
      <c r="M197" s="55"/>
    </row>
    <row r="198" spans="1:47" ht="12" customHeight="1">
      <c r="A198" s="95"/>
      <c r="B198" s="105" t="s">
        <v>216</v>
      </c>
      <c r="C198" s="105" t="s">
        <v>314</v>
      </c>
      <c r="D198" s="119"/>
      <c r="E198" s="119"/>
      <c r="F198" s="119"/>
      <c r="G198" s="119"/>
      <c r="H198" s="119"/>
      <c r="I198" s="129" t="s">
        <v>72</v>
      </c>
      <c r="J198" s="129" t="s">
        <v>72</v>
      </c>
      <c r="K198" s="129" t="s">
        <v>72</v>
      </c>
      <c r="L198" s="150">
        <f>SUM(L199:L210)</f>
        <v>0</v>
      </c>
      <c r="M198" s="55"/>
      <c r="AI198" s="143" t="s">
        <v>402</v>
      </c>
      <c r="AS198" s="156">
        <f>SUM(AJ199:AJ210)</f>
        <v>0</v>
      </c>
      <c r="AT198" s="156">
        <f>SUM(AK199:AK210)</f>
        <v>0</v>
      </c>
      <c r="AU198" s="156">
        <f>SUM(AL199:AL210)</f>
        <v>0</v>
      </c>
    </row>
    <row r="199" spans="1:64" ht="12" customHeight="1">
      <c r="A199" s="96" t="s">
        <v>160</v>
      </c>
      <c r="B199" s="106" t="s">
        <v>217</v>
      </c>
      <c r="C199" s="106" t="s">
        <v>315</v>
      </c>
      <c r="D199" s="120"/>
      <c r="E199" s="120"/>
      <c r="F199" s="120"/>
      <c r="G199" s="120"/>
      <c r="H199" s="120"/>
      <c r="I199" s="106" t="s">
        <v>379</v>
      </c>
      <c r="J199" s="132">
        <v>41.87</v>
      </c>
      <c r="K199" s="132">
        <v>0</v>
      </c>
      <c r="L199" s="151">
        <f>J199*K199</f>
        <v>0</v>
      </c>
      <c r="M199" s="55"/>
      <c r="Z199" s="144">
        <f>IF(AQ199="5",BJ199,0)</f>
        <v>0</v>
      </c>
      <c r="AB199" s="144">
        <f>IF(AQ199="1",BH199,0)</f>
        <v>0</v>
      </c>
      <c r="AC199" s="144">
        <f>IF(AQ199="1",BI199,0)</f>
        <v>0</v>
      </c>
      <c r="AD199" s="144">
        <f>IF(AQ199="7",BH199,0)</f>
        <v>0</v>
      </c>
      <c r="AE199" s="144">
        <f>IF(AQ199="7",BI199,0)</f>
        <v>0</v>
      </c>
      <c r="AF199" s="144">
        <f>IF(AQ199="2",BH199,0)</f>
        <v>0</v>
      </c>
      <c r="AG199" s="144">
        <f>IF(AQ199="2",BI199,0)</f>
        <v>0</v>
      </c>
      <c r="AH199" s="144">
        <f>IF(AQ199="0",BJ199,0)</f>
        <v>0</v>
      </c>
      <c r="AI199" s="143" t="s">
        <v>402</v>
      </c>
      <c r="AJ199" s="132">
        <f>IF(AN199=0,L199,0)</f>
        <v>0</v>
      </c>
      <c r="AK199" s="132">
        <f>IF(AN199=15,L199,0)</f>
        <v>0</v>
      </c>
      <c r="AL199" s="132">
        <f>IF(AN199=21,L199,0)</f>
        <v>0</v>
      </c>
      <c r="AN199" s="144">
        <v>21</v>
      </c>
      <c r="AO199" s="144">
        <f>K199*0.371701886291956</f>
        <v>0</v>
      </c>
      <c r="AP199" s="144">
        <f>K199*(1-0.371701886291956)</f>
        <v>0</v>
      </c>
      <c r="AQ199" s="145" t="s">
        <v>79</v>
      </c>
      <c r="AV199" s="144">
        <f>AW199+AX199</f>
        <v>0</v>
      </c>
      <c r="AW199" s="144">
        <f>J199*AO199</f>
        <v>0</v>
      </c>
      <c r="AX199" s="144">
        <f>J199*AP199</f>
        <v>0</v>
      </c>
      <c r="AY199" s="147" t="s">
        <v>408</v>
      </c>
      <c r="AZ199" s="147" t="s">
        <v>427</v>
      </c>
      <c r="BA199" s="143" t="s">
        <v>432</v>
      </c>
      <c r="BC199" s="144">
        <f>AW199+AX199</f>
        <v>0</v>
      </c>
      <c r="BD199" s="144">
        <f>K199/(100-BE199)*100</f>
        <v>0</v>
      </c>
      <c r="BE199" s="144">
        <v>0</v>
      </c>
      <c r="BF199" s="144">
        <f>199</f>
        <v>199</v>
      </c>
      <c r="BH199" s="132">
        <f>J199*AO199</f>
        <v>0</v>
      </c>
      <c r="BI199" s="132">
        <f>J199*AP199</f>
        <v>0</v>
      </c>
      <c r="BJ199" s="132">
        <f>J199*K199</f>
        <v>0</v>
      </c>
      <c r="BK199" s="132" t="s">
        <v>437</v>
      </c>
      <c r="BL199" s="144">
        <v>711</v>
      </c>
    </row>
    <row r="200" spans="1:13" ht="12.75" customHeight="1">
      <c r="A200" s="55"/>
      <c r="B200" s="107" t="s">
        <v>186</v>
      </c>
      <c r="C200" s="114" t="s">
        <v>316</v>
      </c>
      <c r="D200" s="122"/>
      <c r="E200" s="122"/>
      <c r="F200" s="122"/>
      <c r="G200" s="122"/>
      <c r="H200" s="122"/>
      <c r="I200" s="122"/>
      <c r="J200" s="122"/>
      <c r="K200" s="122"/>
      <c r="L200" s="142"/>
      <c r="M200" s="55"/>
    </row>
    <row r="201" spans="1:64" ht="12" customHeight="1">
      <c r="A201" s="96" t="s">
        <v>161</v>
      </c>
      <c r="B201" s="106" t="s">
        <v>218</v>
      </c>
      <c r="C201" s="106" t="s">
        <v>317</v>
      </c>
      <c r="D201" s="120"/>
      <c r="E201" s="120"/>
      <c r="F201" s="120"/>
      <c r="G201" s="120"/>
      <c r="H201" s="120"/>
      <c r="I201" s="106" t="s">
        <v>381</v>
      </c>
      <c r="J201" s="132">
        <v>28.5</v>
      </c>
      <c r="K201" s="132">
        <v>0</v>
      </c>
      <c r="L201" s="151">
        <f>J201*K201</f>
        <v>0</v>
      </c>
      <c r="M201" s="55"/>
      <c r="Z201" s="144">
        <f>IF(AQ201="5",BJ201,0)</f>
        <v>0</v>
      </c>
      <c r="AB201" s="144">
        <f>IF(AQ201="1",BH201,0)</f>
        <v>0</v>
      </c>
      <c r="AC201" s="144">
        <f>IF(AQ201="1",BI201,0)</f>
        <v>0</v>
      </c>
      <c r="AD201" s="144">
        <f>IF(AQ201="7",BH201,0)</f>
        <v>0</v>
      </c>
      <c r="AE201" s="144">
        <f>IF(AQ201="7",BI201,0)</f>
        <v>0</v>
      </c>
      <c r="AF201" s="144">
        <f>IF(AQ201="2",BH201,0)</f>
        <v>0</v>
      </c>
      <c r="AG201" s="144">
        <f>IF(AQ201="2",BI201,0)</f>
        <v>0</v>
      </c>
      <c r="AH201" s="144">
        <f>IF(AQ201="0",BJ201,0)</f>
        <v>0</v>
      </c>
      <c r="AI201" s="143" t="s">
        <v>402</v>
      </c>
      <c r="AJ201" s="132">
        <f>IF(AN201=0,L201,0)</f>
        <v>0</v>
      </c>
      <c r="AK201" s="132">
        <f>IF(AN201=15,L201,0)</f>
        <v>0</v>
      </c>
      <c r="AL201" s="132">
        <f>IF(AN201=21,L201,0)</f>
        <v>0</v>
      </c>
      <c r="AN201" s="144">
        <v>21</v>
      </c>
      <c r="AO201" s="144">
        <f>K201*0</f>
        <v>0</v>
      </c>
      <c r="AP201" s="144">
        <f>K201*(1-0)</f>
        <v>0</v>
      </c>
      <c r="AQ201" s="145" t="s">
        <v>79</v>
      </c>
      <c r="AV201" s="144">
        <f>AW201+AX201</f>
        <v>0</v>
      </c>
      <c r="AW201" s="144">
        <f>J201*AO201</f>
        <v>0</v>
      </c>
      <c r="AX201" s="144">
        <f>J201*AP201</f>
        <v>0</v>
      </c>
      <c r="AY201" s="147" t="s">
        <v>408</v>
      </c>
      <c r="AZ201" s="147" t="s">
        <v>427</v>
      </c>
      <c r="BA201" s="143" t="s">
        <v>432</v>
      </c>
      <c r="BC201" s="144">
        <f>AW201+AX201</f>
        <v>0</v>
      </c>
      <c r="BD201" s="144">
        <f>K201/(100-BE201)*100</f>
        <v>0</v>
      </c>
      <c r="BE201" s="144">
        <v>0</v>
      </c>
      <c r="BF201" s="144">
        <f>201</f>
        <v>201</v>
      </c>
      <c r="BH201" s="132">
        <f>J201*AO201</f>
        <v>0</v>
      </c>
      <c r="BI201" s="132">
        <f>J201*AP201</f>
        <v>0</v>
      </c>
      <c r="BJ201" s="132">
        <f>J201*K201</f>
        <v>0</v>
      </c>
      <c r="BK201" s="132" t="s">
        <v>437</v>
      </c>
      <c r="BL201" s="144">
        <v>711</v>
      </c>
    </row>
    <row r="202" spans="1:13" ht="12.75" customHeight="1">
      <c r="A202" s="55"/>
      <c r="B202" s="107" t="s">
        <v>186</v>
      </c>
      <c r="C202" s="114" t="s">
        <v>318</v>
      </c>
      <c r="D202" s="122"/>
      <c r="E202" s="122"/>
      <c r="F202" s="122"/>
      <c r="G202" s="122"/>
      <c r="H202" s="122"/>
      <c r="I202" s="122"/>
      <c r="J202" s="122"/>
      <c r="K202" s="122"/>
      <c r="L202" s="142"/>
      <c r="M202" s="55"/>
    </row>
    <row r="203" spans="1:64" ht="12" customHeight="1">
      <c r="A203" s="96" t="s">
        <v>162</v>
      </c>
      <c r="B203" s="106" t="s">
        <v>219</v>
      </c>
      <c r="C203" s="106" t="s">
        <v>319</v>
      </c>
      <c r="D203" s="120"/>
      <c r="E203" s="120"/>
      <c r="F203" s="120"/>
      <c r="G203" s="120"/>
      <c r="H203" s="120"/>
      <c r="I203" s="106" t="s">
        <v>379</v>
      </c>
      <c r="J203" s="132">
        <v>41.9</v>
      </c>
      <c r="K203" s="132">
        <v>0</v>
      </c>
      <c r="L203" s="151">
        <f>J203*K203</f>
        <v>0</v>
      </c>
      <c r="M203" s="55"/>
      <c r="Z203" s="144">
        <f>IF(AQ203="5",BJ203,0)</f>
        <v>0</v>
      </c>
      <c r="AB203" s="144">
        <f>IF(AQ203="1",BH203,0)</f>
        <v>0</v>
      </c>
      <c r="AC203" s="144">
        <f>IF(AQ203="1",BI203,0)</f>
        <v>0</v>
      </c>
      <c r="AD203" s="144">
        <f>IF(AQ203="7",BH203,0)</f>
        <v>0</v>
      </c>
      <c r="AE203" s="144">
        <f>IF(AQ203="7",BI203,0)</f>
        <v>0</v>
      </c>
      <c r="AF203" s="144">
        <f>IF(AQ203="2",BH203,0)</f>
        <v>0</v>
      </c>
      <c r="AG203" s="144">
        <f>IF(AQ203="2",BI203,0)</f>
        <v>0</v>
      </c>
      <c r="AH203" s="144">
        <f>IF(AQ203="0",BJ203,0)</f>
        <v>0</v>
      </c>
      <c r="AI203" s="143" t="s">
        <v>402</v>
      </c>
      <c r="AJ203" s="132">
        <f>IF(AN203=0,L203,0)</f>
        <v>0</v>
      </c>
      <c r="AK203" s="132">
        <f>IF(AN203=15,L203,0)</f>
        <v>0</v>
      </c>
      <c r="AL203" s="132">
        <f>IF(AN203=21,L203,0)</f>
        <v>0</v>
      </c>
      <c r="AN203" s="144">
        <v>21</v>
      </c>
      <c r="AO203" s="144">
        <f>K203*0.6313888</f>
        <v>0</v>
      </c>
      <c r="AP203" s="144">
        <f>K203*(1-0.6313888)</f>
        <v>0</v>
      </c>
      <c r="AQ203" s="145" t="s">
        <v>79</v>
      </c>
      <c r="AV203" s="144">
        <f>AW203+AX203</f>
        <v>0</v>
      </c>
      <c r="AW203" s="144">
        <f>J203*AO203</f>
        <v>0</v>
      </c>
      <c r="AX203" s="144">
        <f>J203*AP203</f>
        <v>0</v>
      </c>
      <c r="AY203" s="147" t="s">
        <v>408</v>
      </c>
      <c r="AZ203" s="147" t="s">
        <v>427</v>
      </c>
      <c r="BA203" s="143" t="s">
        <v>432</v>
      </c>
      <c r="BC203" s="144">
        <f>AW203+AX203</f>
        <v>0</v>
      </c>
      <c r="BD203" s="144">
        <f>K203/(100-BE203)*100</f>
        <v>0</v>
      </c>
      <c r="BE203" s="144">
        <v>0</v>
      </c>
      <c r="BF203" s="144">
        <f>203</f>
        <v>203</v>
      </c>
      <c r="BH203" s="132">
        <f>J203*AO203</f>
        <v>0</v>
      </c>
      <c r="BI203" s="132">
        <f>J203*AP203</f>
        <v>0</v>
      </c>
      <c r="BJ203" s="132">
        <f>J203*K203</f>
        <v>0</v>
      </c>
      <c r="BK203" s="132" t="s">
        <v>437</v>
      </c>
      <c r="BL203" s="144">
        <v>711</v>
      </c>
    </row>
    <row r="204" spans="1:13" ht="12.75" customHeight="1">
      <c r="A204" s="55"/>
      <c r="B204" s="107" t="s">
        <v>186</v>
      </c>
      <c r="C204" s="114" t="s">
        <v>320</v>
      </c>
      <c r="D204" s="122"/>
      <c r="E204" s="122"/>
      <c r="F204" s="122"/>
      <c r="G204" s="122"/>
      <c r="H204" s="122"/>
      <c r="I204" s="122"/>
      <c r="J204" s="122"/>
      <c r="K204" s="122"/>
      <c r="L204" s="142"/>
      <c r="M204" s="55"/>
    </row>
    <row r="205" spans="1:13" ht="12.75" customHeight="1">
      <c r="A205" s="55"/>
      <c r="B205" s="107" t="s">
        <v>184</v>
      </c>
      <c r="C205" s="113" t="s">
        <v>321</v>
      </c>
      <c r="D205" s="121"/>
      <c r="E205" s="121"/>
      <c r="F205" s="121"/>
      <c r="G205" s="121"/>
      <c r="H205" s="121"/>
      <c r="I205" s="121"/>
      <c r="J205" s="121"/>
      <c r="K205" s="121"/>
      <c r="L205" s="141"/>
      <c r="M205" s="55"/>
    </row>
    <row r="206" spans="1:64" ht="12" customHeight="1">
      <c r="A206" s="96" t="s">
        <v>163</v>
      </c>
      <c r="B206" s="106" t="s">
        <v>220</v>
      </c>
      <c r="C206" s="106" t="s">
        <v>322</v>
      </c>
      <c r="D206" s="120"/>
      <c r="E206" s="120"/>
      <c r="F206" s="120"/>
      <c r="G206" s="120"/>
      <c r="H206" s="120"/>
      <c r="I206" s="106" t="s">
        <v>379</v>
      </c>
      <c r="J206" s="132">
        <v>33.755</v>
      </c>
      <c r="K206" s="132">
        <v>0</v>
      </c>
      <c r="L206" s="151">
        <f>J206*K206</f>
        <v>0</v>
      </c>
      <c r="M206" s="55"/>
      <c r="Z206" s="144">
        <f>IF(AQ206="5",BJ206,0)</f>
        <v>0</v>
      </c>
      <c r="AB206" s="144">
        <f>IF(AQ206="1",BH206,0)</f>
        <v>0</v>
      </c>
      <c r="AC206" s="144">
        <f>IF(AQ206="1",BI206,0)</f>
        <v>0</v>
      </c>
      <c r="AD206" s="144">
        <f>IF(AQ206="7",BH206,0)</f>
        <v>0</v>
      </c>
      <c r="AE206" s="144">
        <f>IF(AQ206="7",BI206,0)</f>
        <v>0</v>
      </c>
      <c r="AF206" s="144">
        <f>IF(AQ206="2",BH206,0)</f>
        <v>0</v>
      </c>
      <c r="AG206" s="144">
        <f>IF(AQ206="2",BI206,0)</f>
        <v>0</v>
      </c>
      <c r="AH206" s="144">
        <f>IF(AQ206="0",BJ206,0)</f>
        <v>0</v>
      </c>
      <c r="AI206" s="143" t="s">
        <v>402</v>
      </c>
      <c r="AJ206" s="132">
        <f>IF(AN206=0,L206,0)</f>
        <v>0</v>
      </c>
      <c r="AK206" s="132">
        <f>IF(AN206=15,L206,0)</f>
        <v>0</v>
      </c>
      <c r="AL206" s="132">
        <f>IF(AN206=21,L206,0)</f>
        <v>0</v>
      </c>
      <c r="AN206" s="144">
        <v>21</v>
      </c>
      <c r="AO206" s="144">
        <f>K206*0.708298679245283</f>
        <v>0</v>
      </c>
      <c r="AP206" s="144">
        <f>K206*(1-0.708298679245283)</f>
        <v>0</v>
      </c>
      <c r="AQ206" s="145" t="s">
        <v>79</v>
      </c>
      <c r="AV206" s="144">
        <f>AW206+AX206</f>
        <v>0</v>
      </c>
      <c r="AW206" s="144">
        <f>J206*AO206</f>
        <v>0</v>
      </c>
      <c r="AX206" s="144">
        <f>J206*AP206</f>
        <v>0</v>
      </c>
      <c r="AY206" s="147" t="s">
        <v>408</v>
      </c>
      <c r="AZ206" s="147" t="s">
        <v>427</v>
      </c>
      <c r="BA206" s="143" t="s">
        <v>432</v>
      </c>
      <c r="BC206" s="144">
        <f>AW206+AX206</f>
        <v>0</v>
      </c>
      <c r="BD206" s="144">
        <f>K206/(100-BE206)*100</f>
        <v>0</v>
      </c>
      <c r="BE206" s="144">
        <v>0</v>
      </c>
      <c r="BF206" s="144">
        <f>206</f>
        <v>206</v>
      </c>
      <c r="BH206" s="132">
        <f>J206*AO206</f>
        <v>0</v>
      </c>
      <c r="BI206" s="132">
        <f>J206*AP206</f>
        <v>0</v>
      </c>
      <c r="BJ206" s="132">
        <f>J206*K206</f>
        <v>0</v>
      </c>
      <c r="BK206" s="132" t="s">
        <v>437</v>
      </c>
      <c r="BL206" s="144">
        <v>711</v>
      </c>
    </row>
    <row r="207" spans="1:13" ht="12.75" customHeight="1">
      <c r="A207" s="55"/>
      <c r="B207" s="107" t="s">
        <v>184</v>
      </c>
      <c r="C207" s="113" t="s">
        <v>323</v>
      </c>
      <c r="D207" s="121"/>
      <c r="E207" s="121"/>
      <c r="F207" s="121"/>
      <c r="G207" s="121"/>
      <c r="H207" s="121"/>
      <c r="I207" s="121"/>
      <c r="J207" s="121"/>
      <c r="K207" s="121"/>
      <c r="L207" s="141"/>
      <c r="M207" s="55"/>
    </row>
    <row r="208" spans="1:64" ht="12" customHeight="1">
      <c r="A208" s="96" t="s">
        <v>164</v>
      </c>
      <c r="B208" s="106" t="s">
        <v>221</v>
      </c>
      <c r="C208" s="106" t="s">
        <v>324</v>
      </c>
      <c r="D208" s="120"/>
      <c r="E208" s="120"/>
      <c r="F208" s="120"/>
      <c r="G208" s="120"/>
      <c r="H208" s="120"/>
      <c r="I208" s="106" t="s">
        <v>382</v>
      </c>
      <c r="J208" s="132">
        <v>2</v>
      </c>
      <c r="K208" s="132">
        <v>0</v>
      </c>
      <c r="L208" s="151">
        <f>J208*K208</f>
        <v>0</v>
      </c>
      <c r="M208" s="55"/>
      <c r="Z208" s="144">
        <f>IF(AQ208="5",BJ208,0)</f>
        <v>0</v>
      </c>
      <c r="AB208" s="144">
        <f>IF(AQ208="1",BH208,0)</f>
        <v>0</v>
      </c>
      <c r="AC208" s="144">
        <f>IF(AQ208="1",BI208,0)</f>
        <v>0</v>
      </c>
      <c r="AD208" s="144">
        <f>IF(AQ208="7",BH208,0)</f>
        <v>0</v>
      </c>
      <c r="AE208" s="144">
        <f>IF(AQ208="7",BI208,0)</f>
        <v>0</v>
      </c>
      <c r="AF208" s="144">
        <f>IF(AQ208="2",BH208,0)</f>
        <v>0</v>
      </c>
      <c r="AG208" s="144">
        <f>IF(AQ208="2",BI208,0)</f>
        <v>0</v>
      </c>
      <c r="AH208" s="144">
        <f>IF(AQ208="0",BJ208,0)</f>
        <v>0</v>
      </c>
      <c r="AI208" s="143" t="s">
        <v>402</v>
      </c>
      <c r="AJ208" s="132">
        <f>IF(AN208=0,L208,0)</f>
        <v>0</v>
      </c>
      <c r="AK208" s="132">
        <f>IF(AN208=15,L208,0)</f>
        <v>0</v>
      </c>
      <c r="AL208" s="132">
        <f>IF(AN208=21,L208,0)</f>
        <v>0</v>
      </c>
      <c r="AN208" s="144">
        <v>21</v>
      </c>
      <c r="AO208" s="144">
        <f>K208*0</f>
        <v>0</v>
      </c>
      <c r="AP208" s="144">
        <f>K208*(1-0)</f>
        <v>0</v>
      </c>
      <c r="AQ208" s="145" t="s">
        <v>74</v>
      </c>
      <c r="AV208" s="144">
        <f>AW208+AX208</f>
        <v>0</v>
      </c>
      <c r="AW208" s="144">
        <f>J208*AO208</f>
        <v>0</v>
      </c>
      <c r="AX208" s="144">
        <f>J208*AP208</f>
        <v>0</v>
      </c>
      <c r="AY208" s="147" t="s">
        <v>408</v>
      </c>
      <c r="AZ208" s="147" t="s">
        <v>427</v>
      </c>
      <c r="BA208" s="143" t="s">
        <v>432</v>
      </c>
      <c r="BC208" s="144">
        <f>AW208+AX208</f>
        <v>0</v>
      </c>
      <c r="BD208" s="144">
        <f>K208/(100-BE208)*100</f>
        <v>0</v>
      </c>
      <c r="BE208" s="144">
        <v>0</v>
      </c>
      <c r="BF208" s="144">
        <f>208</f>
        <v>208</v>
      </c>
      <c r="BH208" s="132">
        <f>J208*AO208</f>
        <v>0</v>
      </c>
      <c r="BI208" s="132">
        <f>J208*AP208</f>
        <v>0</v>
      </c>
      <c r="BJ208" s="132">
        <f>J208*K208</f>
        <v>0</v>
      </c>
      <c r="BK208" s="132" t="s">
        <v>437</v>
      </c>
      <c r="BL208" s="144">
        <v>711</v>
      </c>
    </row>
    <row r="209" spans="1:13" ht="25.5" customHeight="1">
      <c r="A209" s="55"/>
      <c r="B209" s="107" t="s">
        <v>186</v>
      </c>
      <c r="C209" s="114" t="s">
        <v>325</v>
      </c>
      <c r="D209" s="122"/>
      <c r="E209" s="122"/>
      <c r="F209" s="122"/>
      <c r="G209" s="122"/>
      <c r="H209" s="122"/>
      <c r="I209" s="122"/>
      <c r="J209" s="122"/>
      <c r="K209" s="122"/>
      <c r="L209" s="142"/>
      <c r="M209" s="55"/>
    </row>
    <row r="210" spans="1:64" ht="12" customHeight="1">
      <c r="A210" s="96" t="s">
        <v>165</v>
      </c>
      <c r="B210" s="106" t="s">
        <v>222</v>
      </c>
      <c r="C210" s="106" t="s">
        <v>326</v>
      </c>
      <c r="D210" s="120"/>
      <c r="E210" s="120"/>
      <c r="F210" s="120"/>
      <c r="G210" s="120"/>
      <c r="H210" s="120"/>
      <c r="I210" s="106" t="s">
        <v>384</v>
      </c>
      <c r="J210" s="132">
        <v>2</v>
      </c>
      <c r="K210" s="132">
        <v>0</v>
      </c>
      <c r="L210" s="151">
        <f>J210*K210</f>
        <v>0</v>
      </c>
      <c r="M210" s="55"/>
      <c r="Z210" s="144">
        <f>IF(AQ210="5",BJ210,0)</f>
        <v>0</v>
      </c>
      <c r="AB210" s="144">
        <f>IF(AQ210="1",BH210,0)</f>
        <v>0</v>
      </c>
      <c r="AC210" s="144">
        <f>IF(AQ210="1",BI210,0)</f>
        <v>0</v>
      </c>
      <c r="AD210" s="144">
        <f>IF(AQ210="7",BH210,0)</f>
        <v>0</v>
      </c>
      <c r="AE210" s="144">
        <f>IF(AQ210="7",BI210,0)</f>
        <v>0</v>
      </c>
      <c r="AF210" s="144">
        <f>IF(AQ210="2",BH210,0)</f>
        <v>0</v>
      </c>
      <c r="AG210" s="144">
        <f>IF(AQ210="2",BI210,0)</f>
        <v>0</v>
      </c>
      <c r="AH210" s="144">
        <f>IF(AQ210="0",BJ210,0)</f>
        <v>0</v>
      </c>
      <c r="AI210" s="143" t="s">
        <v>402</v>
      </c>
      <c r="AJ210" s="132">
        <f>IF(AN210=0,L210,0)</f>
        <v>0</v>
      </c>
      <c r="AK210" s="132">
        <f>IF(AN210=15,L210,0)</f>
        <v>0</v>
      </c>
      <c r="AL210" s="132">
        <f>IF(AN210=21,L210,0)</f>
        <v>0</v>
      </c>
      <c r="AN210" s="144">
        <v>21</v>
      </c>
      <c r="AO210" s="144">
        <f>K210*0</f>
        <v>0</v>
      </c>
      <c r="AP210" s="144">
        <f>K210*(1-0)</f>
        <v>0</v>
      </c>
      <c r="AQ210" s="145" t="s">
        <v>77</v>
      </c>
      <c r="AV210" s="144">
        <f>AW210+AX210</f>
        <v>0</v>
      </c>
      <c r="AW210" s="144">
        <f>J210*AO210</f>
        <v>0</v>
      </c>
      <c r="AX210" s="144">
        <f>J210*AP210</f>
        <v>0</v>
      </c>
      <c r="AY210" s="147" t="s">
        <v>408</v>
      </c>
      <c r="AZ210" s="147" t="s">
        <v>427</v>
      </c>
      <c r="BA210" s="143" t="s">
        <v>432</v>
      </c>
      <c r="BC210" s="144">
        <f>AW210+AX210</f>
        <v>0</v>
      </c>
      <c r="BD210" s="144">
        <f>K210/(100-BE210)*100</f>
        <v>0</v>
      </c>
      <c r="BE210" s="144">
        <v>0</v>
      </c>
      <c r="BF210" s="144">
        <f>210</f>
        <v>210</v>
      </c>
      <c r="BH210" s="132">
        <f>J210*AO210</f>
        <v>0</v>
      </c>
      <c r="BI210" s="132">
        <f>J210*AP210</f>
        <v>0</v>
      </c>
      <c r="BJ210" s="132">
        <f>J210*K210</f>
        <v>0</v>
      </c>
      <c r="BK210" s="132" t="s">
        <v>437</v>
      </c>
      <c r="BL210" s="144">
        <v>711</v>
      </c>
    </row>
    <row r="211" spans="1:47" ht="12" customHeight="1">
      <c r="A211" s="95"/>
      <c r="B211" s="105" t="s">
        <v>134</v>
      </c>
      <c r="C211" s="105" t="s">
        <v>327</v>
      </c>
      <c r="D211" s="119"/>
      <c r="E211" s="119"/>
      <c r="F211" s="119"/>
      <c r="G211" s="119"/>
      <c r="H211" s="119"/>
      <c r="I211" s="129" t="s">
        <v>72</v>
      </c>
      <c r="J211" s="129" t="s">
        <v>72</v>
      </c>
      <c r="K211" s="129" t="s">
        <v>72</v>
      </c>
      <c r="L211" s="150">
        <f>SUM(L212:L225)</f>
        <v>0</v>
      </c>
      <c r="M211" s="55"/>
      <c r="AI211" s="143" t="s">
        <v>402</v>
      </c>
      <c r="AS211" s="156">
        <f>SUM(AJ212:AJ225)</f>
        <v>0</v>
      </c>
      <c r="AT211" s="156">
        <f>SUM(AK212:AK225)</f>
        <v>0</v>
      </c>
      <c r="AU211" s="156">
        <f>SUM(AL212:AL225)</f>
        <v>0</v>
      </c>
    </row>
    <row r="212" spans="1:64" ht="12" customHeight="1">
      <c r="A212" s="96" t="s">
        <v>166</v>
      </c>
      <c r="B212" s="106" t="s">
        <v>223</v>
      </c>
      <c r="C212" s="106" t="s">
        <v>328</v>
      </c>
      <c r="D212" s="120"/>
      <c r="E212" s="120"/>
      <c r="F212" s="120"/>
      <c r="G212" s="120"/>
      <c r="H212" s="120"/>
      <c r="I212" s="106" t="s">
        <v>379</v>
      </c>
      <c r="J212" s="132">
        <v>30.6</v>
      </c>
      <c r="K212" s="132">
        <v>0</v>
      </c>
      <c r="L212" s="151">
        <f>J212*K212</f>
        <v>0</v>
      </c>
      <c r="M212" s="55"/>
      <c r="Z212" s="144">
        <f>IF(AQ212="5",BJ212,0)</f>
        <v>0</v>
      </c>
      <c r="AB212" s="144">
        <f>IF(AQ212="1",BH212,0)</f>
        <v>0</v>
      </c>
      <c r="AC212" s="144">
        <f>IF(AQ212="1",BI212,0)</f>
        <v>0</v>
      </c>
      <c r="AD212" s="144">
        <f>IF(AQ212="7",BH212,0)</f>
        <v>0</v>
      </c>
      <c r="AE212" s="144">
        <f>IF(AQ212="7",BI212,0)</f>
        <v>0</v>
      </c>
      <c r="AF212" s="144">
        <f>IF(AQ212="2",BH212,0)</f>
        <v>0</v>
      </c>
      <c r="AG212" s="144">
        <f>IF(AQ212="2",BI212,0)</f>
        <v>0</v>
      </c>
      <c r="AH212" s="144">
        <f>IF(AQ212="0",BJ212,0)</f>
        <v>0</v>
      </c>
      <c r="AI212" s="143" t="s">
        <v>402</v>
      </c>
      <c r="AJ212" s="132">
        <f>IF(AN212=0,L212,0)</f>
        <v>0</v>
      </c>
      <c r="AK212" s="132">
        <f>IF(AN212=15,L212,0)</f>
        <v>0</v>
      </c>
      <c r="AL212" s="132">
        <f>IF(AN212=21,L212,0)</f>
        <v>0</v>
      </c>
      <c r="AN212" s="144">
        <v>21</v>
      </c>
      <c r="AO212" s="144">
        <f>K212*0.689916666666667</f>
        <v>0</v>
      </c>
      <c r="AP212" s="144">
        <f>K212*(1-0.689916666666667)</f>
        <v>0</v>
      </c>
      <c r="AQ212" s="145" t="s">
        <v>73</v>
      </c>
      <c r="AV212" s="144">
        <f>AW212+AX212</f>
        <v>0</v>
      </c>
      <c r="AW212" s="144">
        <f>J212*AO212</f>
        <v>0</v>
      </c>
      <c r="AX212" s="144">
        <f>J212*AP212</f>
        <v>0</v>
      </c>
      <c r="AY212" s="147" t="s">
        <v>409</v>
      </c>
      <c r="AZ212" s="147" t="s">
        <v>428</v>
      </c>
      <c r="BA212" s="143" t="s">
        <v>432</v>
      </c>
      <c r="BC212" s="144">
        <f>AW212+AX212</f>
        <v>0</v>
      </c>
      <c r="BD212" s="144">
        <f>K212/(100-BE212)*100</f>
        <v>0</v>
      </c>
      <c r="BE212" s="144">
        <v>0</v>
      </c>
      <c r="BF212" s="144">
        <f>212</f>
        <v>212</v>
      </c>
      <c r="BH212" s="132">
        <f>J212*AO212</f>
        <v>0</v>
      </c>
      <c r="BI212" s="132">
        <f>J212*AP212</f>
        <v>0</v>
      </c>
      <c r="BJ212" s="132">
        <f>J212*K212</f>
        <v>0</v>
      </c>
      <c r="BK212" s="132" t="s">
        <v>437</v>
      </c>
      <c r="BL212" s="144">
        <v>62</v>
      </c>
    </row>
    <row r="213" spans="1:13" ht="25.5" customHeight="1">
      <c r="A213" s="55"/>
      <c r="B213" s="107" t="s">
        <v>186</v>
      </c>
      <c r="C213" s="114" t="s">
        <v>329</v>
      </c>
      <c r="D213" s="122"/>
      <c r="E213" s="122"/>
      <c r="F213" s="122"/>
      <c r="G213" s="122"/>
      <c r="H213" s="122"/>
      <c r="I213" s="122"/>
      <c r="J213" s="122"/>
      <c r="K213" s="122"/>
      <c r="L213" s="142"/>
      <c r="M213" s="55"/>
    </row>
    <row r="214" spans="1:13" ht="12.75" customHeight="1">
      <c r="A214" s="55"/>
      <c r="B214" s="107" t="s">
        <v>184</v>
      </c>
      <c r="C214" s="113" t="s">
        <v>330</v>
      </c>
      <c r="D214" s="121"/>
      <c r="E214" s="121"/>
      <c r="F214" s="121"/>
      <c r="G214" s="121"/>
      <c r="H214" s="121"/>
      <c r="I214" s="121"/>
      <c r="J214" s="121"/>
      <c r="K214" s="121"/>
      <c r="L214" s="141"/>
      <c r="M214" s="55"/>
    </row>
    <row r="215" spans="1:64" ht="12" customHeight="1">
      <c r="A215" s="96" t="s">
        <v>167</v>
      </c>
      <c r="B215" s="106" t="s">
        <v>224</v>
      </c>
      <c r="C215" s="106" t="s">
        <v>331</v>
      </c>
      <c r="D215" s="120"/>
      <c r="E215" s="120"/>
      <c r="F215" s="120"/>
      <c r="G215" s="120"/>
      <c r="H215" s="120"/>
      <c r="I215" s="106" t="s">
        <v>379</v>
      </c>
      <c r="J215" s="132">
        <v>30.6</v>
      </c>
      <c r="K215" s="132">
        <v>0</v>
      </c>
      <c r="L215" s="151">
        <f>J215*K215</f>
        <v>0</v>
      </c>
      <c r="M215" s="55"/>
      <c r="Z215" s="144">
        <f>IF(AQ215="5",BJ215,0)</f>
        <v>0</v>
      </c>
      <c r="AB215" s="144">
        <f>IF(AQ215="1",BH215,0)</f>
        <v>0</v>
      </c>
      <c r="AC215" s="144">
        <f>IF(AQ215="1",BI215,0)</f>
        <v>0</v>
      </c>
      <c r="AD215" s="144">
        <f>IF(AQ215="7",BH215,0)</f>
        <v>0</v>
      </c>
      <c r="AE215" s="144">
        <f>IF(AQ215="7",BI215,0)</f>
        <v>0</v>
      </c>
      <c r="AF215" s="144">
        <f>IF(AQ215="2",BH215,0)</f>
        <v>0</v>
      </c>
      <c r="AG215" s="144">
        <f>IF(AQ215="2",BI215,0)</f>
        <v>0</v>
      </c>
      <c r="AH215" s="144">
        <f>IF(AQ215="0",BJ215,0)</f>
        <v>0</v>
      </c>
      <c r="AI215" s="143" t="s">
        <v>402</v>
      </c>
      <c r="AJ215" s="132">
        <f>IF(AN215=0,L215,0)</f>
        <v>0</v>
      </c>
      <c r="AK215" s="132">
        <f>IF(AN215=15,L215,0)</f>
        <v>0</v>
      </c>
      <c r="AL215" s="132">
        <f>IF(AN215=21,L215,0)</f>
        <v>0</v>
      </c>
      <c r="AN215" s="144">
        <v>21</v>
      </c>
      <c r="AO215" s="144">
        <f>K215*0.710259259259259</f>
        <v>0</v>
      </c>
      <c r="AP215" s="144">
        <f>K215*(1-0.710259259259259)</f>
        <v>0</v>
      </c>
      <c r="AQ215" s="145" t="s">
        <v>73</v>
      </c>
      <c r="AV215" s="144">
        <f>AW215+AX215</f>
        <v>0</v>
      </c>
      <c r="AW215" s="144">
        <f>J215*AO215</f>
        <v>0</v>
      </c>
      <c r="AX215" s="144">
        <f>J215*AP215</f>
        <v>0</v>
      </c>
      <c r="AY215" s="147" t="s">
        <v>409</v>
      </c>
      <c r="AZ215" s="147" t="s">
        <v>428</v>
      </c>
      <c r="BA215" s="143" t="s">
        <v>432</v>
      </c>
      <c r="BC215" s="144">
        <f>AW215+AX215</f>
        <v>0</v>
      </c>
      <c r="BD215" s="144">
        <f>K215/(100-BE215)*100</f>
        <v>0</v>
      </c>
      <c r="BE215" s="144">
        <v>0</v>
      </c>
      <c r="BF215" s="144">
        <f>215</f>
        <v>215</v>
      </c>
      <c r="BH215" s="132">
        <f>J215*AO215</f>
        <v>0</v>
      </c>
      <c r="BI215" s="132">
        <f>J215*AP215</f>
        <v>0</v>
      </c>
      <c r="BJ215" s="132">
        <f>J215*K215</f>
        <v>0</v>
      </c>
      <c r="BK215" s="132" t="s">
        <v>437</v>
      </c>
      <c r="BL215" s="144">
        <v>62</v>
      </c>
    </row>
    <row r="216" spans="1:13" ht="25.5" customHeight="1">
      <c r="A216" s="55"/>
      <c r="B216" s="107" t="s">
        <v>186</v>
      </c>
      <c r="C216" s="114" t="s">
        <v>332</v>
      </c>
      <c r="D216" s="122"/>
      <c r="E216" s="122"/>
      <c r="F216" s="122"/>
      <c r="G216" s="122"/>
      <c r="H216" s="122"/>
      <c r="I216" s="122"/>
      <c r="J216" s="122"/>
      <c r="K216" s="122"/>
      <c r="L216" s="142"/>
      <c r="M216" s="55"/>
    </row>
    <row r="217" spans="1:13" ht="12.75" customHeight="1">
      <c r="A217" s="55"/>
      <c r="B217" s="107" t="s">
        <v>184</v>
      </c>
      <c r="C217" s="113" t="s">
        <v>333</v>
      </c>
      <c r="D217" s="121"/>
      <c r="E217" s="121"/>
      <c r="F217" s="121"/>
      <c r="G217" s="121"/>
      <c r="H217" s="121"/>
      <c r="I217" s="121"/>
      <c r="J217" s="121"/>
      <c r="K217" s="121"/>
      <c r="L217" s="141"/>
      <c r="M217" s="55"/>
    </row>
    <row r="218" spans="1:64" ht="12" customHeight="1">
      <c r="A218" s="96" t="s">
        <v>168</v>
      </c>
      <c r="B218" s="106" t="s">
        <v>225</v>
      </c>
      <c r="C218" s="106" t="s">
        <v>334</v>
      </c>
      <c r="D218" s="120"/>
      <c r="E218" s="120"/>
      <c r="F218" s="120"/>
      <c r="G218" s="120"/>
      <c r="H218" s="120"/>
      <c r="I218" s="106" t="s">
        <v>379</v>
      </c>
      <c r="J218" s="132">
        <v>30.6</v>
      </c>
      <c r="K218" s="132">
        <v>0</v>
      </c>
      <c r="L218" s="151">
        <f>J218*K218</f>
        <v>0</v>
      </c>
      <c r="M218" s="55"/>
      <c r="Z218" s="144">
        <f>IF(AQ218="5",BJ218,0)</f>
        <v>0</v>
      </c>
      <c r="AB218" s="144">
        <f>IF(AQ218="1",BH218,0)</f>
        <v>0</v>
      </c>
      <c r="AC218" s="144">
        <f>IF(AQ218="1",BI218,0)</f>
        <v>0</v>
      </c>
      <c r="AD218" s="144">
        <f>IF(AQ218="7",BH218,0)</f>
        <v>0</v>
      </c>
      <c r="AE218" s="144">
        <f>IF(AQ218="7",BI218,0)</f>
        <v>0</v>
      </c>
      <c r="AF218" s="144">
        <f>IF(AQ218="2",BH218,0)</f>
        <v>0</v>
      </c>
      <c r="AG218" s="144">
        <f>IF(AQ218="2",BI218,0)</f>
        <v>0</v>
      </c>
      <c r="AH218" s="144">
        <f>IF(AQ218="0",BJ218,0)</f>
        <v>0</v>
      </c>
      <c r="AI218" s="143" t="s">
        <v>402</v>
      </c>
      <c r="AJ218" s="132">
        <f>IF(AN218=0,L218,0)</f>
        <v>0</v>
      </c>
      <c r="AK218" s="132">
        <f>IF(AN218=15,L218,0)</f>
        <v>0</v>
      </c>
      <c r="AL218" s="132">
        <f>IF(AN218=21,L218,0)</f>
        <v>0</v>
      </c>
      <c r="AN218" s="144">
        <v>21</v>
      </c>
      <c r="AO218" s="144">
        <f>K218*0.215230769230769</f>
        <v>0</v>
      </c>
      <c r="AP218" s="144">
        <f>K218*(1-0.215230769230769)</f>
        <v>0</v>
      </c>
      <c r="AQ218" s="145" t="s">
        <v>73</v>
      </c>
      <c r="AV218" s="144">
        <f>AW218+AX218</f>
        <v>0</v>
      </c>
      <c r="AW218" s="144">
        <f>J218*AO218</f>
        <v>0</v>
      </c>
      <c r="AX218" s="144">
        <f>J218*AP218</f>
        <v>0</v>
      </c>
      <c r="AY218" s="147" t="s">
        <v>409</v>
      </c>
      <c r="AZ218" s="147" t="s">
        <v>428</v>
      </c>
      <c r="BA218" s="143" t="s">
        <v>432</v>
      </c>
      <c r="BC218" s="144">
        <f>AW218+AX218</f>
        <v>0</v>
      </c>
      <c r="BD218" s="144">
        <f>K218/(100-BE218)*100</f>
        <v>0</v>
      </c>
      <c r="BE218" s="144">
        <v>0</v>
      </c>
      <c r="BF218" s="144">
        <f>218</f>
        <v>218</v>
      </c>
      <c r="BH218" s="132">
        <f>J218*AO218</f>
        <v>0</v>
      </c>
      <c r="BI218" s="132">
        <f>J218*AP218</f>
        <v>0</v>
      </c>
      <c r="BJ218" s="132">
        <f>J218*K218</f>
        <v>0</v>
      </c>
      <c r="BK218" s="132" t="s">
        <v>437</v>
      </c>
      <c r="BL218" s="144">
        <v>62</v>
      </c>
    </row>
    <row r="219" spans="1:13" ht="12.75" customHeight="1">
      <c r="A219" s="55"/>
      <c r="B219" s="107" t="s">
        <v>186</v>
      </c>
      <c r="C219" s="114" t="s">
        <v>335</v>
      </c>
      <c r="D219" s="122"/>
      <c r="E219" s="122"/>
      <c r="F219" s="122"/>
      <c r="G219" s="122"/>
      <c r="H219" s="122"/>
      <c r="I219" s="122"/>
      <c r="J219" s="122"/>
      <c r="K219" s="122"/>
      <c r="L219" s="142"/>
      <c r="M219" s="55"/>
    </row>
    <row r="220" spans="1:64" ht="12" customHeight="1">
      <c r="A220" s="96" t="s">
        <v>169</v>
      </c>
      <c r="B220" s="106" t="s">
        <v>226</v>
      </c>
      <c r="C220" s="106" t="s">
        <v>336</v>
      </c>
      <c r="D220" s="120"/>
      <c r="E220" s="120"/>
      <c r="F220" s="120"/>
      <c r="G220" s="120"/>
      <c r="H220" s="120"/>
      <c r="I220" s="106" t="s">
        <v>379</v>
      </c>
      <c r="J220" s="132">
        <v>148</v>
      </c>
      <c r="K220" s="132">
        <v>0</v>
      </c>
      <c r="L220" s="151">
        <f>J220*K220</f>
        <v>0</v>
      </c>
      <c r="M220" s="55"/>
      <c r="Z220" s="144">
        <f>IF(AQ220="5",BJ220,0)</f>
        <v>0</v>
      </c>
      <c r="AB220" s="144">
        <f>IF(AQ220="1",BH220,0)</f>
        <v>0</v>
      </c>
      <c r="AC220" s="144">
        <f>IF(AQ220="1",BI220,0)</f>
        <v>0</v>
      </c>
      <c r="AD220" s="144">
        <f>IF(AQ220="7",BH220,0)</f>
        <v>0</v>
      </c>
      <c r="AE220" s="144">
        <f>IF(AQ220="7",BI220,0)</f>
        <v>0</v>
      </c>
      <c r="AF220" s="144">
        <f>IF(AQ220="2",BH220,0)</f>
        <v>0</v>
      </c>
      <c r="AG220" s="144">
        <f>IF(AQ220="2",BI220,0)</f>
        <v>0</v>
      </c>
      <c r="AH220" s="144">
        <f>IF(AQ220="0",BJ220,0)</f>
        <v>0</v>
      </c>
      <c r="AI220" s="143" t="s">
        <v>402</v>
      </c>
      <c r="AJ220" s="132">
        <f>IF(AN220=0,L220,0)</f>
        <v>0</v>
      </c>
      <c r="AK220" s="132">
        <f>IF(AN220=15,L220,0)</f>
        <v>0</v>
      </c>
      <c r="AL220" s="132">
        <f>IF(AN220=21,L220,0)</f>
        <v>0</v>
      </c>
      <c r="AN220" s="144">
        <v>21</v>
      </c>
      <c r="AO220" s="144">
        <f>K220*0.775860465116279</f>
        <v>0</v>
      </c>
      <c r="AP220" s="144">
        <f>K220*(1-0.775860465116279)</f>
        <v>0</v>
      </c>
      <c r="AQ220" s="145" t="s">
        <v>73</v>
      </c>
      <c r="AV220" s="144">
        <f>AW220+AX220</f>
        <v>0</v>
      </c>
      <c r="AW220" s="144">
        <f>J220*AO220</f>
        <v>0</v>
      </c>
      <c r="AX220" s="144">
        <f>J220*AP220</f>
        <v>0</v>
      </c>
      <c r="AY220" s="147" t="s">
        <v>409</v>
      </c>
      <c r="AZ220" s="147" t="s">
        <v>428</v>
      </c>
      <c r="BA220" s="143" t="s">
        <v>432</v>
      </c>
      <c r="BC220" s="144">
        <f>AW220+AX220</f>
        <v>0</v>
      </c>
      <c r="BD220" s="144">
        <f>K220/(100-BE220)*100</f>
        <v>0</v>
      </c>
      <c r="BE220" s="144">
        <v>0</v>
      </c>
      <c r="BF220" s="144">
        <f>220</f>
        <v>220</v>
      </c>
      <c r="BH220" s="132">
        <f>J220*AO220</f>
        <v>0</v>
      </c>
      <c r="BI220" s="132">
        <f>J220*AP220</f>
        <v>0</v>
      </c>
      <c r="BJ220" s="132">
        <f>J220*K220</f>
        <v>0</v>
      </c>
      <c r="BK220" s="132" t="s">
        <v>437</v>
      </c>
      <c r="BL220" s="144">
        <v>62</v>
      </c>
    </row>
    <row r="221" spans="1:13" ht="38.25" customHeight="1">
      <c r="A221" s="55"/>
      <c r="B221" s="107" t="s">
        <v>186</v>
      </c>
      <c r="C221" s="114" t="s">
        <v>337</v>
      </c>
      <c r="D221" s="122"/>
      <c r="E221" s="122"/>
      <c r="F221" s="122"/>
      <c r="G221" s="122"/>
      <c r="H221" s="122"/>
      <c r="I221" s="122"/>
      <c r="J221" s="122"/>
      <c r="K221" s="122"/>
      <c r="L221" s="142"/>
      <c r="M221" s="55"/>
    </row>
    <row r="222" spans="1:64" ht="12" customHeight="1">
      <c r="A222" s="96" t="s">
        <v>170</v>
      </c>
      <c r="B222" s="106" t="s">
        <v>227</v>
      </c>
      <c r="C222" s="106" t="s">
        <v>338</v>
      </c>
      <c r="D222" s="120"/>
      <c r="E222" s="120"/>
      <c r="F222" s="120"/>
      <c r="G222" s="120"/>
      <c r="H222" s="120"/>
      <c r="I222" s="106" t="s">
        <v>379</v>
      </c>
      <c r="J222" s="132">
        <v>16.1</v>
      </c>
      <c r="K222" s="132">
        <v>0</v>
      </c>
      <c r="L222" s="151">
        <f>J222*K222</f>
        <v>0</v>
      </c>
      <c r="M222" s="55"/>
      <c r="Z222" s="144">
        <f>IF(AQ222="5",BJ222,0)</f>
        <v>0</v>
      </c>
      <c r="AB222" s="144">
        <f>IF(AQ222="1",BH222,0)</f>
        <v>0</v>
      </c>
      <c r="AC222" s="144">
        <f>IF(AQ222="1",BI222,0)</f>
        <v>0</v>
      </c>
      <c r="AD222" s="144">
        <f>IF(AQ222="7",BH222,0)</f>
        <v>0</v>
      </c>
      <c r="AE222" s="144">
        <f>IF(AQ222="7",BI222,0)</f>
        <v>0</v>
      </c>
      <c r="AF222" s="144">
        <f>IF(AQ222="2",BH222,0)</f>
        <v>0</v>
      </c>
      <c r="AG222" s="144">
        <f>IF(AQ222="2",BI222,0)</f>
        <v>0</v>
      </c>
      <c r="AH222" s="144">
        <f>IF(AQ222="0",BJ222,0)</f>
        <v>0</v>
      </c>
      <c r="AI222" s="143" t="s">
        <v>402</v>
      </c>
      <c r="AJ222" s="132">
        <f>IF(AN222=0,L222,0)</f>
        <v>0</v>
      </c>
      <c r="AK222" s="132">
        <f>IF(AN222=15,L222,0)</f>
        <v>0</v>
      </c>
      <c r="AL222" s="132">
        <f>IF(AN222=21,L222,0)</f>
        <v>0</v>
      </c>
      <c r="AN222" s="144">
        <v>21</v>
      </c>
      <c r="AO222" s="144">
        <f>K222*0.553387096774194</f>
        <v>0</v>
      </c>
      <c r="AP222" s="144">
        <f>K222*(1-0.553387096774194)</f>
        <v>0</v>
      </c>
      <c r="AQ222" s="145" t="s">
        <v>73</v>
      </c>
      <c r="AV222" s="144">
        <f>AW222+AX222</f>
        <v>0</v>
      </c>
      <c r="AW222" s="144">
        <f>J222*AO222</f>
        <v>0</v>
      </c>
      <c r="AX222" s="144">
        <f>J222*AP222</f>
        <v>0</v>
      </c>
      <c r="AY222" s="147" t="s">
        <v>409</v>
      </c>
      <c r="AZ222" s="147" t="s">
        <v>428</v>
      </c>
      <c r="BA222" s="143" t="s">
        <v>432</v>
      </c>
      <c r="BC222" s="144">
        <f>AW222+AX222</f>
        <v>0</v>
      </c>
      <c r="BD222" s="144">
        <f>K222/(100-BE222)*100</f>
        <v>0</v>
      </c>
      <c r="BE222" s="144">
        <v>0</v>
      </c>
      <c r="BF222" s="144">
        <f>222</f>
        <v>222</v>
      </c>
      <c r="BH222" s="132">
        <f>J222*AO222</f>
        <v>0</v>
      </c>
      <c r="BI222" s="132">
        <f>J222*AP222</f>
        <v>0</v>
      </c>
      <c r="BJ222" s="132">
        <f>J222*K222</f>
        <v>0</v>
      </c>
      <c r="BK222" s="132" t="s">
        <v>437</v>
      </c>
      <c r="BL222" s="144">
        <v>62</v>
      </c>
    </row>
    <row r="223" spans="1:13" ht="25.5" customHeight="1">
      <c r="A223" s="55"/>
      <c r="B223" s="107" t="s">
        <v>186</v>
      </c>
      <c r="C223" s="114" t="s">
        <v>339</v>
      </c>
      <c r="D223" s="122"/>
      <c r="E223" s="122"/>
      <c r="F223" s="122"/>
      <c r="G223" s="122"/>
      <c r="H223" s="122"/>
      <c r="I223" s="122"/>
      <c r="J223" s="122"/>
      <c r="K223" s="122"/>
      <c r="L223" s="142"/>
      <c r="M223" s="55"/>
    </row>
    <row r="224" spans="1:13" ht="25.5" customHeight="1">
      <c r="A224" s="55"/>
      <c r="B224" s="107" t="s">
        <v>184</v>
      </c>
      <c r="C224" s="113" t="s">
        <v>340</v>
      </c>
      <c r="D224" s="121"/>
      <c r="E224" s="121"/>
      <c r="F224" s="121"/>
      <c r="G224" s="121"/>
      <c r="H224" s="121"/>
      <c r="I224" s="121"/>
      <c r="J224" s="121"/>
      <c r="K224" s="121"/>
      <c r="L224" s="141"/>
      <c r="M224" s="55"/>
    </row>
    <row r="225" spans="1:64" ht="12" customHeight="1">
      <c r="A225" s="96" t="s">
        <v>171</v>
      </c>
      <c r="B225" s="106" t="s">
        <v>228</v>
      </c>
      <c r="C225" s="106" t="s">
        <v>341</v>
      </c>
      <c r="D225" s="120"/>
      <c r="E225" s="120"/>
      <c r="F225" s="120"/>
      <c r="G225" s="120"/>
      <c r="H225" s="120"/>
      <c r="I225" s="106" t="s">
        <v>379</v>
      </c>
      <c r="J225" s="132">
        <v>12.27</v>
      </c>
      <c r="K225" s="132">
        <v>0</v>
      </c>
      <c r="L225" s="151">
        <f>J225*K225</f>
        <v>0</v>
      </c>
      <c r="M225" s="55"/>
      <c r="Z225" s="144">
        <f>IF(AQ225="5",BJ225,0)</f>
        <v>0</v>
      </c>
      <c r="AB225" s="144">
        <f>IF(AQ225="1",BH225,0)</f>
        <v>0</v>
      </c>
      <c r="AC225" s="144">
        <f>IF(AQ225="1",BI225,0)</f>
        <v>0</v>
      </c>
      <c r="AD225" s="144">
        <f>IF(AQ225="7",BH225,0)</f>
        <v>0</v>
      </c>
      <c r="AE225" s="144">
        <f>IF(AQ225="7",BI225,0)</f>
        <v>0</v>
      </c>
      <c r="AF225" s="144">
        <f>IF(AQ225="2",BH225,0)</f>
        <v>0</v>
      </c>
      <c r="AG225" s="144">
        <f>IF(AQ225="2",BI225,0)</f>
        <v>0</v>
      </c>
      <c r="AH225" s="144">
        <f>IF(AQ225="0",BJ225,0)</f>
        <v>0</v>
      </c>
      <c r="AI225" s="143" t="s">
        <v>402</v>
      </c>
      <c r="AJ225" s="132">
        <f>IF(AN225=0,L225,0)</f>
        <v>0</v>
      </c>
      <c r="AK225" s="132">
        <f>IF(AN225=15,L225,0)</f>
        <v>0</v>
      </c>
      <c r="AL225" s="132">
        <f>IF(AN225=21,L225,0)</f>
        <v>0</v>
      </c>
      <c r="AN225" s="144">
        <v>21</v>
      </c>
      <c r="AO225" s="144">
        <f>K225*0.287536373620207</f>
        <v>0</v>
      </c>
      <c r="AP225" s="144">
        <f>K225*(1-0.287536373620207)</f>
        <v>0</v>
      </c>
      <c r="AQ225" s="145" t="s">
        <v>73</v>
      </c>
      <c r="AV225" s="144">
        <f>AW225+AX225</f>
        <v>0</v>
      </c>
      <c r="AW225" s="144">
        <f>J225*AO225</f>
        <v>0</v>
      </c>
      <c r="AX225" s="144">
        <f>J225*AP225</f>
        <v>0</v>
      </c>
      <c r="AY225" s="147" t="s">
        <v>409</v>
      </c>
      <c r="AZ225" s="147" t="s">
        <v>428</v>
      </c>
      <c r="BA225" s="143" t="s">
        <v>432</v>
      </c>
      <c r="BC225" s="144">
        <f>AW225+AX225</f>
        <v>0</v>
      </c>
      <c r="BD225" s="144">
        <f>K225/(100-BE225)*100</f>
        <v>0</v>
      </c>
      <c r="BE225" s="144">
        <v>0</v>
      </c>
      <c r="BF225" s="144">
        <f>225</f>
        <v>225</v>
      </c>
      <c r="BH225" s="132">
        <f>J225*AO225</f>
        <v>0</v>
      </c>
      <c r="BI225" s="132">
        <f>J225*AP225</f>
        <v>0</v>
      </c>
      <c r="BJ225" s="132">
        <f>J225*K225</f>
        <v>0</v>
      </c>
      <c r="BK225" s="132" t="s">
        <v>437</v>
      </c>
      <c r="BL225" s="144">
        <v>62</v>
      </c>
    </row>
    <row r="226" spans="1:13" ht="12.75" customHeight="1">
      <c r="A226" s="55"/>
      <c r="B226" s="107" t="s">
        <v>186</v>
      </c>
      <c r="C226" s="114" t="s">
        <v>342</v>
      </c>
      <c r="D226" s="122"/>
      <c r="E226" s="122"/>
      <c r="F226" s="122"/>
      <c r="G226" s="122"/>
      <c r="H226" s="122"/>
      <c r="I226" s="122"/>
      <c r="J226" s="122"/>
      <c r="K226" s="122"/>
      <c r="L226" s="142"/>
      <c r="M226" s="55"/>
    </row>
    <row r="227" spans="1:13" ht="12.75" customHeight="1">
      <c r="A227" s="55"/>
      <c r="B227" s="107" t="s">
        <v>184</v>
      </c>
      <c r="C227" s="113" t="s">
        <v>343</v>
      </c>
      <c r="D227" s="121"/>
      <c r="E227" s="121"/>
      <c r="F227" s="121"/>
      <c r="G227" s="121"/>
      <c r="H227" s="121"/>
      <c r="I227" s="121"/>
      <c r="J227" s="121"/>
      <c r="K227" s="121"/>
      <c r="L227" s="141"/>
      <c r="M227" s="55"/>
    </row>
    <row r="228" spans="1:47" ht="12" customHeight="1">
      <c r="A228" s="95"/>
      <c r="B228" s="105" t="s">
        <v>155</v>
      </c>
      <c r="C228" s="105" t="s">
        <v>344</v>
      </c>
      <c r="D228" s="119"/>
      <c r="E228" s="119"/>
      <c r="F228" s="119"/>
      <c r="G228" s="119"/>
      <c r="H228" s="119"/>
      <c r="I228" s="129" t="s">
        <v>72</v>
      </c>
      <c r="J228" s="129" t="s">
        <v>72</v>
      </c>
      <c r="K228" s="129" t="s">
        <v>72</v>
      </c>
      <c r="L228" s="150">
        <f>SUM(L229:L232)</f>
        <v>0</v>
      </c>
      <c r="M228" s="55"/>
      <c r="AI228" s="143" t="s">
        <v>402</v>
      </c>
      <c r="AS228" s="156">
        <f>SUM(AJ229:AJ232)</f>
        <v>0</v>
      </c>
      <c r="AT228" s="156">
        <f>SUM(AK229:AK232)</f>
        <v>0</v>
      </c>
      <c r="AU228" s="156">
        <f>SUM(AL229:AL232)</f>
        <v>0</v>
      </c>
    </row>
    <row r="229" spans="1:64" ht="12" customHeight="1">
      <c r="A229" s="96" t="s">
        <v>172</v>
      </c>
      <c r="B229" s="106" t="s">
        <v>229</v>
      </c>
      <c r="C229" s="106" t="s">
        <v>345</v>
      </c>
      <c r="D229" s="120"/>
      <c r="E229" s="120"/>
      <c r="F229" s="120"/>
      <c r="G229" s="120"/>
      <c r="H229" s="120"/>
      <c r="I229" s="106" t="s">
        <v>385</v>
      </c>
      <c r="J229" s="132">
        <v>1</v>
      </c>
      <c r="K229" s="132">
        <v>0</v>
      </c>
      <c r="L229" s="151">
        <f>J229*K229</f>
        <v>0</v>
      </c>
      <c r="M229" s="55"/>
      <c r="Z229" s="144">
        <f>IF(AQ229="5",BJ229,0)</f>
        <v>0</v>
      </c>
      <c r="AB229" s="144">
        <f>IF(AQ229="1",BH229,0)</f>
        <v>0</v>
      </c>
      <c r="AC229" s="144">
        <f>IF(AQ229="1",BI229,0)</f>
        <v>0</v>
      </c>
      <c r="AD229" s="144">
        <f>IF(AQ229="7",BH229,0)</f>
        <v>0</v>
      </c>
      <c r="AE229" s="144">
        <f>IF(AQ229="7",BI229,0)</f>
        <v>0</v>
      </c>
      <c r="AF229" s="144">
        <f>IF(AQ229="2",BH229,0)</f>
        <v>0</v>
      </c>
      <c r="AG229" s="144">
        <f>IF(AQ229="2",BI229,0)</f>
        <v>0</v>
      </c>
      <c r="AH229" s="144">
        <f>IF(AQ229="0",BJ229,0)</f>
        <v>0</v>
      </c>
      <c r="AI229" s="143" t="s">
        <v>402</v>
      </c>
      <c r="AJ229" s="132">
        <f>IF(AN229=0,L229,0)</f>
        <v>0</v>
      </c>
      <c r="AK229" s="132">
        <f>IF(AN229=15,L229,0)</f>
        <v>0</v>
      </c>
      <c r="AL229" s="132">
        <f>IF(AN229=21,L229,0)</f>
        <v>0</v>
      </c>
      <c r="AN229" s="144">
        <v>21</v>
      </c>
      <c r="AO229" s="144">
        <f>K229*0</f>
        <v>0</v>
      </c>
      <c r="AP229" s="144">
        <f>K229*(1-0)</f>
        <v>0</v>
      </c>
      <c r="AQ229" s="145" t="s">
        <v>73</v>
      </c>
      <c r="AV229" s="144">
        <f>AW229+AX229</f>
        <v>0</v>
      </c>
      <c r="AW229" s="144">
        <f>J229*AO229</f>
        <v>0</v>
      </c>
      <c r="AX229" s="144">
        <f>J229*AP229</f>
        <v>0</v>
      </c>
      <c r="AY229" s="147" t="s">
        <v>410</v>
      </c>
      <c r="AZ229" s="147" t="s">
        <v>429</v>
      </c>
      <c r="BA229" s="143" t="s">
        <v>432</v>
      </c>
      <c r="BC229" s="144">
        <f>AW229+AX229</f>
        <v>0</v>
      </c>
      <c r="BD229" s="144">
        <f>K229/(100-BE229)*100</f>
        <v>0</v>
      </c>
      <c r="BE229" s="144">
        <v>0</v>
      </c>
      <c r="BF229" s="144">
        <f>229</f>
        <v>229</v>
      </c>
      <c r="BH229" s="132">
        <f>J229*AO229</f>
        <v>0</v>
      </c>
      <c r="BI229" s="132">
        <f>J229*AP229</f>
        <v>0</v>
      </c>
      <c r="BJ229" s="132">
        <f>J229*K229</f>
        <v>0</v>
      </c>
      <c r="BK229" s="132" t="s">
        <v>437</v>
      </c>
      <c r="BL229" s="144">
        <v>83</v>
      </c>
    </row>
    <row r="230" spans="1:64" ht="12" customHeight="1">
      <c r="A230" s="96" t="s">
        <v>173</v>
      </c>
      <c r="B230" s="106" t="s">
        <v>230</v>
      </c>
      <c r="C230" s="106" t="s">
        <v>346</v>
      </c>
      <c r="D230" s="120"/>
      <c r="E230" s="120"/>
      <c r="F230" s="120"/>
      <c r="G230" s="120"/>
      <c r="H230" s="120"/>
      <c r="I230" s="106" t="s">
        <v>382</v>
      </c>
      <c r="J230" s="132">
        <v>1</v>
      </c>
      <c r="K230" s="132">
        <v>0</v>
      </c>
      <c r="L230" s="151">
        <f>J230*K230</f>
        <v>0</v>
      </c>
      <c r="M230" s="55"/>
      <c r="Z230" s="144">
        <f>IF(AQ230="5",BJ230,0)</f>
        <v>0</v>
      </c>
      <c r="AB230" s="144">
        <f>IF(AQ230="1",BH230,0)</f>
        <v>0</v>
      </c>
      <c r="AC230" s="144">
        <f>IF(AQ230="1",BI230,0)</f>
        <v>0</v>
      </c>
      <c r="AD230" s="144">
        <f>IF(AQ230="7",BH230,0)</f>
        <v>0</v>
      </c>
      <c r="AE230" s="144">
        <f>IF(AQ230="7",BI230,0)</f>
        <v>0</v>
      </c>
      <c r="AF230" s="144">
        <f>IF(AQ230="2",BH230,0)</f>
        <v>0</v>
      </c>
      <c r="AG230" s="144">
        <f>IF(AQ230="2",BI230,0)</f>
        <v>0</v>
      </c>
      <c r="AH230" s="144">
        <f>IF(AQ230="0",BJ230,0)</f>
        <v>0</v>
      </c>
      <c r="AI230" s="143" t="s">
        <v>402</v>
      </c>
      <c r="AJ230" s="132">
        <f>IF(AN230=0,L230,0)</f>
        <v>0</v>
      </c>
      <c r="AK230" s="132">
        <f>IF(AN230=15,L230,0)</f>
        <v>0</v>
      </c>
      <c r="AL230" s="132">
        <f>IF(AN230=21,L230,0)</f>
        <v>0</v>
      </c>
      <c r="AN230" s="144">
        <v>21</v>
      </c>
      <c r="AO230" s="144">
        <f>K230*0.898101258581236</f>
        <v>0</v>
      </c>
      <c r="AP230" s="144">
        <f>K230*(1-0.898101258581236)</f>
        <v>0</v>
      </c>
      <c r="AQ230" s="145" t="s">
        <v>73</v>
      </c>
      <c r="AV230" s="144">
        <f>AW230+AX230</f>
        <v>0</v>
      </c>
      <c r="AW230" s="144">
        <f>J230*AO230</f>
        <v>0</v>
      </c>
      <c r="AX230" s="144">
        <f>J230*AP230</f>
        <v>0</v>
      </c>
      <c r="AY230" s="147" t="s">
        <v>410</v>
      </c>
      <c r="AZ230" s="147" t="s">
        <v>429</v>
      </c>
      <c r="BA230" s="143" t="s">
        <v>432</v>
      </c>
      <c r="BC230" s="144">
        <f>AW230+AX230</f>
        <v>0</v>
      </c>
      <c r="BD230" s="144">
        <f>K230/(100-BE230)*100</f>
        <v>0</v>
      </c>
      <c r="BE230" s="144">
        <v>0</v>
      </c>
      <c r="BF230" s="144">
        <f>230</f>
        <v>230</v>
      </c>
      <c r="BH230" s="132">
        <f>J230*AO230</f>
        <v>0</v>
      </c>
      <c r="BI230" s="132">
        <f>J230*AP230</f>
        <v>0</v>
      </c>
      <c r="BJ230" s="132">
        <f>J230*K230</f>
        <v>0</v>
      </c>
      <c r="BK230" s="132" t="s">
        <v>437</v>
      </c>
      <c r="BL230" s="144">
        <v>83</v>
      </c>
    </row>
    <row r="231" spans="1:13" ht="12.75" customHeight="1">
      <c r="A231" s="55"/>
      <c r="B231" s="107" t="s">
        <v>186</v>
      </c>
      <c r="C231" s="114" t="s">
        <v>347</v>
      </c>
      <c r="D231" s="122"/>
      <c r="E231" s="122"/>
      <c r="F231" s="122"/>
      <c r="G231" s="122"/>
      <c r="H231" s="122"/>
      <c r="I231" s="122"/>
      <c r="J231" s="122"/>
      <c r="K231" s="122"/>
      <c r="L231" s="142"/>
      <c r="M231" s="55"/>
    </row>
    <row r="232" spans="1:64" ht="12" customHeight="1">
      <c r="A232" s="96" t="s">
        <v>174</v>
      </c>
      <c r="B232" s="106" t="s">
        <v>231</v>
      </c>
      <c r="C232" s="106" t="s">
        <v>348</v>
      </c>
      <c r="D232" s="120"/>
      <c r="E232" s="120"/>
      <c r="F232" s="120"/>
      <c r="G232" s="120"/>
      <c r="H232" s="120"/>
      <c r="I232" s="106" t="s">
        <v>381</v>
      </c>
      <c r="J232" s="132">
        <v>5</v>
      </c>
      <c r="K232" s="132">
        <v>0</v>
      </c>
      <c r="L232" s="151">
        <f>J232*K232</f>
        <v>0</v>
      </c>
      <c r="M232" s="55"/>
      <c r="Z232" s="144">
        <f>IF(AQ232="5",BJ232,0)</f>
        <v>0</v>
      </c>
      <c r="AB232" s="144">
        <f>IF(AQ232="1",BH232,0)</f>
        <v>0</v>
      </c>
      <c r="AC232" s="144">
        <f>IF(AQ232="1",BI232,0)</f>
        <v>0</v>
      </c>
      <c r="AD232" s="144">
        <f>IF(AQ232="7",BH232,0)</f>
        <v>0</v>
      </c>
      <c r="AE232" s="144">
        <f>IF(AQ232="7",BI232,0)</f>
        <v>0</v>
      </c>
      <c r="AF232" s="144">
        <f>IF(AQ232="2",BH232,0)</f>
        <v>0</v>
      </c>
      <c r="AG232" s="144">
        <f>IF(AQ232="2",BI232,0)</f>
        <v>0</v>
      </c>
      <c r="AH232" s="144">
        <f>IF(AQ232="0",BJ232,0)</f>
        <v>0</v>
      </c>
      <c r="AI232" s="143" t="s">
        <v>402</v>
      </c>
      <c r="AJ232" s="132">
        <f>IF(AN232=0,L232,0)</f>
        <v>0</v>
      </c>
      <c r="AK232" s="132">
        <f>IF(AN232=15,L232,0)</f>
        <v>0</v>
      </c>
      <c r="AL232" s="132">
        <f>IF(AN232=21,L232,0)</f>
        <v>0</v>
      </c>
      <c r="AN232" s="144">
        <v>21</v>
      </c>
      <c r="AO232" s="144">
        <f>K232*0.304655655913978</f>
        <v>0</v>
      </c>
      <c r="AP232" s="144">
        <f>K232*(1-0.304655655913978)</f>
        <v>0</v>
      </c>
      <c r="AQ232" s="145" t="s">
        <v>73</v>
      </c>
      <c r="AV232" s="144">
        <f>AW232+AX232</f>
        <v>0</v>
      </c>
      <c r="AW232" s="144">
        <f>J232*AO232</f>
        <v>0</v>
      </c>
      <c r="AX232" s="144">
        <f>J232*AP232</f>
        <v>0</v>
      </c>
      <c r="AY232" s="147" t="s">
        <v>410</v>
      </c>
      <c r="AZ232" s="147" t="s">
        <v>429</v>
      </c>
      <c r="BA232" s="143" t="s">
        <v>432</v>
      </c>
      <c r="BC232" s="144">
        <f>AW232+AX232</f>
        <v>0</v>
      </c>
      <c r="BD232" s="144">
        <f>K232/(100-BE232)*100</f>
        <v>0</v>
      </c>
      <c r="BE232" s="144">
        <v>0</v>
      </c>
      <c r="BF232" s="144">
        <f>232</f>
        <v>232</v>
      </c>
      <c r="BH232" s="132">
        <f>J232*AO232</f>
        <v>0</v>
      </c>
      <c r="BI232" s="132">
        <f>J232*AP232</f>
        <v>0</v>
      </c>
      <c r="BJ232" s="132">
        <f>J232*K232</f>
        <v>0</v>
      </c>
      <c r="BK232" s="132" t="s">
        <v>437</v>
      </c>
      <c r="BL232" s="144">
        <v>83</v>
      </c>
    </row>
    <row r="233" spans="1:13" ht="12.75" customHeight="1">
      <c r="A233" s="55"/>
      <c r="B233" s="107" t="s">
        <v>186</v>
      </c>
      <c r="C233" s="114" t="s">
        <v>349</v>
      </c>
      <c r="D233" s="122"/>
      <c r="E233" s="122"/>
      <c r="F233" s="122"/>
      <c r="G233" s="122"/>
      <c r="H233" s="122"/>
      <c r="I233" s="122"/>
      <c r="J233" s="122"/>
      <c r="K233" s="122"/>
      <c r="L233" s="142"/>
      <c r="M233" s="55"/>
    </row>
    <row r="234" spans="1:13" ht="38.25" customHeight="1">
      <c r="A234" s="55"/>
      <c r="B234" s="107" t="s">
        <v>184</v>
      </c>
      <c r="C234" s="113" t="s">
        <v>350</v>
      </c>
      <c r="D234" s="121"/>
      <c r="E234" s="121"/>
      <c r="F234" s="121"/>
      <c r="G234" s="121"/>
      <c r="H234" s="121"/>
      <c r="I234" s="121"/>
      <c r="J234" s="121"/>
      <c r="K234" s="121"/>
      <c r="L234" s="141"/>
      <c r="M234" s="55"/>
    </row>
    <row r="235" spans="1:47" ht="12" customHeight="1">
      <c r="A235" s="95"/>
      <c r="B235" s="105" t="s">
        <v>162</v>
      </c>
      <c r="C235" s="105" t="s">
        <v>351</v>
      </c>
      <c r="D235" s="119"/>
      <c r="E235" s="119"/>
      <c r="F235" s="119"/>
      <c r="G235" s="119"/>
      <c r="H235" s="119"/>
      <c r="I235" s="129" t="s">
        <v>72</v>
      </c>
      <c r="J235" s="129" t="s">
        <v>72</v>
      </c>
      <c r="K235" s="129" t="s">
        <v>72</v>
      </c>
      <c r="L235" s="150">
        <f>SUM(L236:L236)</f>
        <v>0</v>
      </c>
      <c r="M235" s="55"/>
      <c r="AI235" s="143" t="s">
        <v>402</v>
      </c>
      <c r="AS235" s="156">
        <f>SUM(AJ236:AJ236)</f>
        <v>0</v>
      </c>
      <c r="AT235" s="156">
        <f>SUM(AK236:AK236)</f>
        <v>0</v>
      </c>
      <c r="AU235" s="156">
        <f>SUM(AL236:AL236)</f>
        <v>0</v>
      </c>
    </row>
    <row r="236" spans="1:64" ht="12" customHeight="1">
      <c r="A236" s="96" t="s">
        <v>175</v>
      </c>
      <c r="B236" s="106" t="s">
        <v>232</v>
      </c>
      <c r="C236" s="106" t="s">
        <v>352</v>
      </c>
      <c r="D236" s="120"/>
      <c r="E236" s="120"/>
      <c r="F236" s="120"/>
      <c r="G236" s="120"/>
      <c r="H236" s="120"/>
      <c r="I236" s="106" t="s">
        <v>386</v>
      </c>
      <c r="J236" s="132">
        <v>20</v>
      </c>
      <c r="K236" s="132">
        <v>0</v>
      </c>
      <c r="L236" s="151">
        <f>J236*K236</f>
        <v>0</v>
      </c>
      <c r="M236" s="55"/>
      <c r="Z236" s="144">
        <f>IF(AQ236="5",BJ236,0)</f>
        <v>0</v>
      </c>
      <c r="AB236" s="144">
        <f>IF(AQ236="1",BH236,0)</f>
        <v>0</v>
      </c>
      <c r="AC236" s="144">
        <f>IF(AQ236="1",BI236,0)</f>
        <v>0</v>
      </c>
      <c r="AD236" s="144">
        <f>IF(AQ236="7",BH236,0)</f>
        <v>0</v>
      </c>
      <c r="AE236" s="144">
        <f>IF(AQ236="7",BI236,0)</f>
        <v>0</v>
      </c>
      <c r="AF236" s="144">
        <f>IF(AQ236="2",BH236,0)</f>
        <v>0</v>
      </c>
      <c r="AG236" s="144">
        <f>IF(AQ236="2",BI236,0)</f>
        <v>0</v>
      </c>
      <c r="AH236" s="144">
        <f>IF(AQ236="0",BJ236,0)</f>
        <v>0</v>
      </c>
      <c r="AI236" s="143" t="s">
        <v>402</v>
      </c>
      <c r="AJ236" s="132">
        <f>IF(AN236=0,L236,0)</f>
        <v>0</v>
      </c>
      <c r="AK236" s="132">
        <f>IF(AN236=15,L236,0)</f>
        <v>0</v>
      </c>
      <c r="AL236" s="132">
        <f>IF(AN236=21,L236,0)</f>
        <v>0</v>
      </c>
      <c r="AN236" s="144">
        <v>21</v>
      </c>
      <c r="AO236" s="144">
        <f>K236*0</f>
        <v>0</v>
      </c>
      <c r="AP236" s="144">
        <f>K236*(1-0)</f>
        <v>0</v>
      </c>
      <c r="AQ236" s="145" t="s">
        <v>73</v>
      </c>
      <c r="AV236" s="144">
        <f>AW236+AX236</f>
        <v>0</v>
      </c>
      <c r="AW236" s="144">
        <f>J236*AO236</f>
        <v>0</v>
      </c>
      <c r="AX236" s="144">
        <f>J236*AP236</f>
        <v>0</v>
      </c>
      <c r="AY236" s="147" t="s">
        <v>411</v>
      </c>
      <c r="AZ236" s="147" t="s">
        <v>430</v>
      </c>
      <c r="BA236" s="143" t="s">
        <v>432</v>
      </c>
      <c r="BC236" s="144">
        <f>AW236+AX236</f>
        <v>0</v>
      </c>
      <c r="BD236" s="144">
        <f>K236/(100-BE236)*100</f>
        <v>0</v>
      </c>
      <c r="BE236" s="144">
        <v>0</v>
      </c>
      <c r="BF236" s="144">
        <f>236</f>
        <v>236</v>
      </c>
      <c r="BH236" s="132">
        <f>J236*AO236</f>
        <v>0</v>
      </c>
      <c r="BI236" s="132">
        <f>J236*AP236</f>
        <v>0</v>
      </c>
      <c r="BJ236" s="132">
        <f>J236*K236</f>
        <v>0</v>
      </c>
      <c r="BK236" s="132" t="s">
        <v>437</v>
      </c>
      <c r="BL236" s="144">
        <v>90</v>
      </c>
    </row>
    <row r="237" spans="1:13" ht="12.75" customHeight="1">
      <c r="A237" s="55"/>
      <c r="B237" s="107" t="s">
        <v>186</v>
      </c>
      <c r="C237" s="114" t="s">
        <v>353</v>
      </c>
      <c r="D237" s="122"/>
      <c r="E237" s="122"/>
      <c r="F237" s="122"/>
      <c r="G237" s="122"/>
      <c r="H237" s="122"/>
      <c r="I237" s="122"/>
      <c r="J237" s="122"/>
      <c r="K237" s="122"/>
      <c r="L237" s="142"/>
      <c r="M237" s="55"/>
    </row>
    <row r="238" spans="1:47" ht="12" customHeight="1">
      <c r="A238" s="95"/>
      <c r="B238" s="105" t="s">
        <v>233</v>
      </c>
      <c r="C238" s="105" t="s">
        <v>354</v>
      </c>
      <c r="D238" s="119"/>
      <c r="E238" s="119"/>
      <c r="F238" s="119"/>
      <c r="G238" s="119"/>
      <c r="H238" s="119"/>
      <c r="I238" s="129" t="s">
        <v>72</v>
      </c>
      <c r="J238" s="129" t="s">
        <v>72</v>
      </c>
      <c r="K238" s="129" t="s">
        <v>72</v>
      </c>
      <c r="L238" s="150">
        <f>SUM(L239:L245)</f>
        <v>0</v>
      </c>
      <c r="M238" s="55"/>
      <c r="AI238" s="143" t="s">
        <v>402</v>
      </c>
      <c r="AS238" s="156">
        <f>SUM(AJ239:AJ245)</f>
        <v>0</v>
      </c>
      <c r="AT238" s="156">
        <f>SUM(AK239:AK245)</f>
        <v>0</v>
      </c>
      <c r="AU238" s="156">
        <f>SUM(AL239:AL245)</f>
        <v>0</v>
      </c>
    </row>
    <row r="239" spans="1:64" ht="12" customHeight="1">
      <c r="A239" s="96" t="s">
        <v>176</v>
      </c>
      <c r="B239" s="106" t="s">
        <v>234</v>
      </c>
      <c r="C239" s="106" t="s">
        <v>355</v>
      </c>
      <c r="D239" s="120"/>
      <c r="E239" s="120"/>
      <c r="F239" s="120"/>
      <c r="G239" s="120"/>
      <c r="H239" s="120"/>
      <c r="I239" s="106" t="s">
        <v>380</v>
      </c>
      <c r="J239" s="132">
        <v>30</v>
      </c>
      <c r="K239" s="132">
        <v>0</v>
      </c>
      <c r="L239" s="151">
        <f>J239*K239</f>
        <v>0</v>
      </c>
      <c r="M239" s="55"/>
      <c r="Z239" s="144">
        <f>IF(AQ239="5",BJ239,0)</f>
        <v>0</v>
      </c>
      <c r="AB239" s="144">
        <f>IF(AQ239="1",BH239,0)</f>
        <v>0</v>
      </c>
      <c r="AC239" s="144">
        <f>IF(AQ239="1",BI239,0)</f>
        <v>0</v>
      </c>
      <c r="AD239" s="144">
        <f>IF(AQ239="7",BH239,0)</f>
        <v>0</v>
      </c>
      <c r="AE239" s="144">
        <f>IF(AQ239="7",BI239,0)</f>
        <v>0</v>
      </c>
      <c r="AF239" s="144">
        <f>IF(AQ239="2",BH239,0)</f>
        <v>0</v>
      </c>
      <c r="AG239" s="144">
        <f>IF(AQ239="2",BI239,0)</f>
        <v>0</v>
      </c>
      <c r="AH239" s="144">
        <f>IF(AQ239="0",BJ239,0)</f>
        <v>0</v>
      </c>
      <c r="AI239" s="143" t="s">
        <v>402</v>
      </c>
      <c r="AJ239" s="132">
        <f>IF(AN239=0,L239,0)</f>
        <v>0</v>
      </c>
      <c r="AK239" s="132">
        <f>IF(AN239=15,L239,0)</f>
        <v>0</v>
      </c>
      <c r="AL239" s="132">
        <f>IF(AN239=21,L239,0)</f>
        <v>0</v>
      </c>
      <c r="AN239" s="144">
        <v>21</v>
      </c>
      <c r="AO239" s="144">
        <f>K239*0</f>
        <v>0</v>
      </c>
      <c r="AP239" s="144">
        <f>K239*(1-0)</f>
        <v>0</v>
      </c>
      <c r="AQ239" s="145" t="s">
        <v>73</v>
      </c>
      <c r="AV239" s="144">
        <f>AW239+AX239</f>
        <v>0</v>
      </c>
      <c r="AW239" s="144">
        <f>J239*AO239</f>
        <v>0</v>
      </c>
      <c r="AX239" s="144">
        <f>J239*AP239</f>
        <v>0</v>
      </c>
      <c r="AY239" s="147" t="s">
        <v>412</v>
      </c>
      <c r="AZ239" s="147" t="s">
        <v>430</v>
      </c>
      <c r="BA239" s="143" t="s">
        <v>432</v>
      </c>
      <c r="BC239" s="144">
        <f>AW239+AX239</f>
        <v>0</v>
      </c>
      <c r="BD239" s="144">
        <f>K239/(100-BE239)*100</f>
        <v>0</v>
      </c>
      <c r="BE239" s="144">
        <v>0</v>
      </c>
      <c r="BF239" s="144">
        <f>239</f>
        <v>239</v>
      </c>
      <c r="BH239" s="132">
        <f>J239*AO239</f>
        <v>0</v>
      </c>
      <c r="BI239" s="132">
        <f>J239*AP239</f>
        <v>0</v>
      </c>
      <c r="BJ239" s="132">
        <f>J239*K239</f>
        <v>0</v>
      </c>
      <c r="BK239" s="132" t="s">
        <v>437</v>
      </c>
      <c r="BL239" s="144" t="s">
        <v>233</v>
      </c>
    </row>
    <row r="240" spans="1:64" ht="12" customHeight="1">
      <c r="A240" s="96" t="s">
        <v>177</v>
      </c>
      <c r="B240" s="106" t="s">
        <v>235</v>
      </c>
      <c r="C240" s="106" t="s">
        <v>356</v>
      </c>
      <c r="D240" s="120"/>
      <c r="E240" s="120"/>
      <c r="F240" s="120"/>
      <c r="G240" s="120"/>
      <c r="H240" s="120"/>
      <c r="I240" s="106" t="s">
        <v>384</v>
      </c>
      <c r="J240" s="132">
        <v>12</v>
      </c>
      <c r="K240" s="132">
        <v>0</v>
      </c>
      <c r="L240" s="151">
        <f>J240*K240</f>
        <v>0</v>
      </c>
      <c r="M240" s="55"/>
      <c r="Z240" s="144">
        <f>IF(AQ240="5",BJ240,0)</f>
        <v>0</v>
      </c>
      <c r="AB240" s="144">
        <f>IF(AQ240="1",BH240,0)</f>
        <v>0</v>
      </c>
      <c r="AC240" s="144">
        <f>IF(AQ240="1",BI240,0)</f>
        <v>0</v>
      </c>
      <c r="AD240" s="144">
        <f>IF(AQ240="7",BH240,0)</f>
        <v>0</v>
      </c>
      <c r="AE240" s="144">
        <f>IF(AQ240="7",BI240,0)</f>
        <v>0</v>
      </c>
      <c r="AF240" s="144">
        <f>IF(AQ240="2",BH240,0)</f>
        <v>0</v>
      </c>
      <c r="AG240" s="144">
        <f>IF(AQ240="2",BI240,0)</f>
        <v>0</v>
      </c>
      <c r="AH240" s="144">
        <f>IF(AQ240="0",BJ240,0)</f>
        <v>0</v>
      </c>
      <c r="AI240" s="143" t="s">
        <v>402</v>
      </c>
      <c r="AJ240" s="132">
        <f>IF(AN240=0,L240,0)</f>
        <v>0</v>
      </c>
      <c r="AK240" s="132">
        <f>IF(AN240=15,L240,0)</f>
        <v>0</v>
      </c>
      <c r="AL240" s="132">
        <f>IF(AN240=21,L240,0)</f>
        <v>0</v>
      </c>
      <c r="AN240" s="144">
        <v>21</v>
      </c>
      <c r="AO240" s="144">
        <f>K240*0</f>
        <v>0</v>
      </c>
      <c r="AP240" s="144">
        <f>K240*(1-0)</f>
        <v>0</v>
      </c>
      <c r="AQ240" s="145" t="s">
        <v>77</v>
      </c>
      <c r="AV240" s="144">
        <f>AW240+AX240</f>
        <v>0</v>
      </c>
      <c r="AW240" s="144">
        <f>J240*AO240</f>
        <v>0</v>
      </c>
      <c r="AX240" s="144">
        <f>J240*AP240</f>
        <v>0</v>
      </c>
      <c r="AY240" s="147" t="s">
        <v>412</v>
      </c>
      <c r="AZ240" s="147" t="s">
        <v>430</v>
      </c>
      <c r="BA240" s="143" t="s">
        <v>432</v>
      </c>
      <c r="BC240" s="144">
        <f>AW240+AX240</f>
        <v>0</v>
      </c>
      <c r="BD240" s="144">
        <f>K240/(100-BE240)*100</f>
        <v>0</v>
      </c>
      <c r="BE240" s="144">
        <v>0</v>
      </c>
      <c r="BF240" s="144">
        <f>240</f>
        <v>240</v>
      </c>
      <c r="BH240" s="132">
        <f>J240*AO240</f>
        <v>0</v>
      </c>
      <c r="BI240" s="132">
        <f>J240*AP240</f>
        <v>0</v>
      </c>
      <c r="BJ240" s="132">
        <f>J240*K240</f>
        <v>0</v>
      </c>
      <c r="BK240" s="132" t="s">
        <v>437</v>
      </c>
      <c r="BL240" s="144" t="s">
        <v>233</v>
      </c>
    </row>
    <row r="241" spans="1:64" ht="12" customHeight="1">
      <c r="A241" s="96" t="s">
        <v>178</v>
      </c>
      <c r="B241" s="106" t="s">
        <v>236</v>
      </c>
      <c r="C241" s="106" t="s">
        <v>357</v>
      </c>
      <c r="D241" s="120"/>
      <c r="E241" s="120"/>
      <c r="F241" s="120"/>
      <c r="G241" s="120"/>
      <c r="H241" s="120"/>
      <c r="I241" s="106" t="s">
        <v>384</v>
      </c>
      <c r="J241" s="132">
        <v>20</v>
      </c>
      <c r="K241" s="132">
        <v>0</v>
      </c>
      <c r="L241" s="151">
        <f>J241*K241</f>
        <v>0</v>
      </c>
      <c r="M241" s="55"/>
      <c r="Z241" s="144">
        <f>IF(AQ241="5",BJ241,0)</f>
        <v>0</v>
      </c>
      <c r="AB241" s="144">
        <f>IF(AQ241="1",BH241,0)</f>
        <v>0</v>
      </c>
      <c r="AC241" s="144">
        <f>IF(AQ241="1",BI241,0)</f>
        <v>0</v>
      </c>
      <c r="AD241" s="144">
        <f>IF(AQ241="7",BH241,0)</f>
        <v>0</v>
      </c>
      <c r="AE241" s="144">
        <f>IF(AQ241="7",BI241,0)</f>
        <v>0</v>
      </c>
      <c r="AF241" s="144">
        <f>IF(AQ241="2",BH241,0)</f>
        <v>0</v>
      </c>
      <c r="AG241" s="144">
        <f>IF(AQ241="2",BI241,0)</f>
        <v>0</v>
      </c>
      <c r="AH241" s="144">
        <f>IF(AQ241="0",BJ241,0)</f>
        <v>0</v>
      </c>
      <c r="AI241" s="143" t="s">
        <v>402</v>
      </c>
      <c r="AJ241" s="132">
        <f>IF(AN241=0,L241,0)</f>
        <v>0</v>
      </c>
      <c r="AK241" s="132">
        <f>IF(AN241=15,L241,0)</f>
        <v>0</v>
      </c>
      <c r="AL241" s="132">
        <f>IF(AN241=21,L241,0)</f>
        <v>0</v>
      </c>
      <c r="AN241" s="144">
        <v>21</v>
      </c>
      <c r="AO241" s="144">
        <f>K241*0</f>
        <v>0</v>
      </c>
      <c r="AP241" s="144">
        <f>K241*(1-0)</f>
        <v>0</v>
      </c>
      <c r="AQ241" s="145" t="s">
        <v>77</v>
      </c>
      <c r="AV241" s="144">
        <f>AW241+AX241</f>
        <v>0</v>
      </c>
      <c r="AW241" s="144">
        <f>J241*AO241</f>
        <v>0</v>
      </c>
      <c r="AX241" s="144">
        <f>J241*AP241</f>
        <v>0</v>
      </c>
      <c r="AY241" s="147" t="s">
        <v>412</v>
      </c>
      <c r="AZ241" s="147" t="s">
        <v>430</v>
      </c>
      <c r="BA241" s="143" t="s">
        <v>432</v>
      </c>
      <c r="BC241" s="144">
        <f>AW241+AX241</f>
        <v>0</v>
      </c>
      <c r="BD241" s="144">
        <f>K241/(100-BE241)*100</f>
        <v>0</v>
      </c>
      <c r="BE241" s="144">
        <v>0</v>
      </c>
      <c r="BF241" s="144">
        <f>241</f>
        <v>241</v>
      </c>
      <c r="BH241" s="132">
        <f>J241*AO241</f>
        <v>0</v>
      </c>
      <c r="BI241" s="132">
        <f>J241*AP241</f>
        <v>0</v>
      </c>
      <c r="BJ241" s="132">
        <f>J241*K241</f>
        <v>0</v>
      </c>
      <c r="BK241" s="132" t="s">
        <v>437</v>
      </c>
      <c r="BL241" s="144" t="s">
        <v>233</v>
      </c>
    </row>
    <row r="242" spans="1:13" ht="12.75" customHeight="1">
      <c r="A242" s="55"/>
      <c r="B242" s="107" t="s">
        <v>184</v>
      </c>
      <c r="C242" s="113" t="s">
        <v>358</v>
      </c>
      <c r="D242" s="121"/>
      <c r="E242" s="121"/>
      <c r="F242" s="121"/>
      <c r="G242" s="121"/>
      <c r="H242" s="121"/>
      <c r="I242" s="121"/>
      <c r="J242" s="121"/>
      <c r="K242" s="121"/>
      <c r="L242" s="141"/>
      <c r="M242" s="55"/>
    </row>
    <row r="243" spans="1:64" ht="12" customHeight="1">
      <c r="A243" s="96" t="s">
        <v>179</v>
      </c>
      <c r="B243" s="106" t="s">
        <v>237</v>
      </c>
      <c r="C243" s="106" t="s">
        <v>359</v>
      </c>
      <c r="D243" s="120"/>
      <c r="E243" s="120"/>
      <c r="F243" s="120"/>
      <c r="G243" s="120"/>
      <c r="H243" s="120"/>
      <c r="I243" s="106" t="s">
        <v>384</v>
      </c>
      <c r="J243" s="132">
        <v>20</v>
      </c>
      <c r="K243" s="132">
        <v>0</v>
      </c>
      <c r="L243" s="151">
        <f>J243*K243</f>
        <v>0</v>
      </c>
      <c r="M243" s="55"/>
      <c r="Z243" s="144">
        <f>IF(AQ243="5",BJ243,0)</f>
        <v>0</v>
      </c>
      <c r="AB243" s="144">
        <f>IF(AQ243="1",BH243,0)</f>
        <v>0</v>
      </c>
      <c r="AC243" s="144">
        <f>IF(AQ243="1",BI243,0)</f>
        <v>0</v>
      </c>
      <c r="AD243" s="144">
        <f>IF(AQ243="7",BH243,0)</f>
        <v>0</v>
      </c>
      <c r="AE243" s="144">
        <f>IF(AQ243="7",BI243,0)</f>
        <v>0</v>
      </c>
      <c r="AF243" s="144">
        <f>IF(AQ243="2",BH243,0)</f>
        <v>0</v>
      </c>
      <c r="AG243" s="144">
        <f>IF(AQ243="2",BI243,0)</f>
        <v>0</v>
      </c>
      <c r="AH243" s="144">
        <f>IF(AQ243="0",BJ243,0)</f>
        <v>0</v>
      </c>
      <c r="AI243" s="143" t="s">
        <v>402</v>
      </c>
      <c r="AJ243" s="132">
        <f>IF(AN243=0,L243,0)</f>
        <v>0</v>
      </c>
      <c r="AK243" s="132">
        <f>IF(AN243=15,L243,0)</f>
        <v>0</v>
      </c>
      <c r="AL243" s="132">
        <f>IF(AN243=21,L243,0)</f>
        <v>0</v>
      </c>
      <c r="AN243" s="144">
        <v>21</v>
      </c>
      <c r="AO243" s="144">
        <f>K243*0</f>
        <v>0</v>
      </c>
      <c r="AP243" s="144">
        <f>K243*(1-0)</f>
        <v>0</v>
      </c>
      <c r="AQ243" s="145" t="s">
        <v>73</v>
      </c>
      <c r="AV243" s="144">
        <f>AW243+AX243</f>
        <v>0</v>
      </c>
      <c r="AW243" s="144">
        <f>J243*AO243</f>
        <v>0</v>
      </c>
      <c r="AX243" s="144">
        <f>J243*AP243</f>
        <v>0</v>
      </c>
      <c r="AY243" s="147" t="s">
        <v>412</v>
      </c>
      <c r="AZ243" s="147" t="s">
        <v>430</v>
      </c>
      <c r="BA243" s="143" t="s">
        <v>432</v>
      </c>
      <c r="BC243" s="144">
        <f>AW243+AX243</f>
        <v>0</v>
      </c>
      <c r="BD243" s="144">
        <f>K243/(100-BE243)*100</f>
        <v>0</v>
      </c>
      <c r="BE243" s="144">
        <v>0</v>
      </c>
      <c r="BF243" s="144">
        <f>243</f>
        <v>243</v>
      </c>
      <c r="BH243" s="132">
        <f>J243*AO243</f>
        <v>0</v>
      </c>
      <c r="BI243" s="132">
        <f>J243*AP243</f>
        <v>0</v>
      </c>
      <c r="BJ243" s="132">
        <f>J243*K243</f>
        <v>0</v>
      </c>
      <c r="BK243" s="132" t="s">
        <v>437</v>
      </c>
      <c r="BL243" s="144" t="s">
        <v>233</v>
      </c>
    </row>
    <row r="244" spans="1:64" ht="12" customHeight="1">
      <c r="A244" s="96" t="s">
        <v>180</v>
      </c>
      <c r="B244" s="106" t="s">
        <v>238</v>
      </c>
      <c r="C244" s="106" t="s">
        <v>360</v>
      </c>
      <c r="D244" s="120"/>
      <c r="E244" s="120"/>
      <c r="F244" s="120"/>
      <c r="G244" s="120"/>
      <c r="H244" s="120"/>
      <c r="I244" s="106" t="s">
        <v>384</v>
      </c>
      <c r="J244" s="132">
        <v>19</v>
      </c>
      <c r="K244" s="132">
        <v>0</v>
      </c>
      <c r="L244" s="151">
        <f>J244*K244</f>
        <v>0</v>
      </c>
      <c r="M244" s="55"/>
      <c r="Z244" s="144">
        <f>IF(AQ244="5",BJ244,0)</f>
        <v>0</v>
      </c>
      <c r="AB244" s="144">
        <f>IF(AQ244="1",BH244,0)</f>
        <v>0</v>
      </c>
      <c r="AC244" s="144">
        <f>IF(AQ244="1",BI244,0)</f>
        <v>0</v>
      </c>
      <c r="AD244" s="144">
        <f>IF(AQ244="7",BH244,0)</f>
        <v>0</v>
      </c>
      <c r="AE244" s="144">
        <f>IF(AQ244="7",BI244,0)</f>
        <v>0</v>
      </c>
      <c r="AF244" s="144">
        <f>IF(AQ244="2",BH244,0)</f>
        <v>0</v>
      </c>
      <c r="AG244" s="144">
        <f>IF(AQ244="2",BI244,0)</f>
        <v>0</v>
      </c>
      <c r="AH244" s="144">
        <f>IF(AQ244="0",BJ244,0)</f>
        <v>0</v>
      </c>
      <c r="AI244" s="143" t="s">
        <v>402</v>
      </c>
      <c r="AJ244" s="132">
        <f>IF(AN244=0,L244,0)</f>
        <v>0</v>
      </c>
      <c r="AK244" s="132">
        <f>IF(AN244=15,L244,0)</f>
        <v>0</v>
      </c>
      <c r="AL244" s="132">
        <f>IF(AN244=21,L244,0)</f>
        <v>0</v>
      </c>
      <c r="AN244" s="144">
        <v>21</v>
      </c>
      <c r="AO244" s="144">
        <f>K244*0</f>
        <v>0</v>
      </c>
      <c r="AP244" s="144">
        <f>K244*(1-0)</f>
        <v>0</v>
      </c>
      <c r="AQ244" s="145" t="s">
        <v>77</v>
      </c>
      <c r="AV244" s="144">
        <f>AW244+AX244</f>
        <v>0</v>
      </c>
      <c r="AW244" s="144">
        <f>J244*AO244</f>
        <v>0</v>
      </c>
      <c r="AX244" s="144">
        <f>J244*AP244</f>
        <v>0</v>
      </c>
      <c r="AY244" s="147" t="s">
        <v>412</v>
      </c>
      <c r="AZ244" s="147" t="s">
        <v>430</v>
      </c>
      <c r="BA244" s="143" t="s">
        <v>432</v>
      </c>
      <c r="BC244" s="144">
        <f>AW244+AX244</f>
        <v>0</v>
      </c>
      <c r="BD244" s="144">
        <f>K244/(100-BE244)*100</f>
        <v>0</v>
      </c>
      <c r="BE244" s="144">
        <v>0</v>
      </c>
      <c r="BF244" s="144">
        <f>244</f>
        <v>244</v>
      </c>
      <c r="BH244" s="132">
        <f>J244*AO244</f>
        <v>0</v>
      </c>
      <c r="BI244" s="132">
        <f>J244*AP244</f>
        <v>0</v>
      </c>
      <c r="BJ244" s="132">
        <f>J244*K244</f>
        <v>0</v>
      </c>
      <c r="BK244" s="132" t="s">
        <v>437</v>
      </c>
      <c r="BL244" s="144" t="s">
        <v>233</v>
      </c>
    </row>
    <row r="245" spans="1:64" ht="12" customHeight="1">
      <c r="A245" s="99" t="s">
        <v>56</v>
      </c>
      <c r="B245" s="110" t="s">
        <v>239</v>
      </c>
      <c r="C245" s="110" t="s">
        <v>361</v>
      </c>
      <c r="D245" s="125"/>
      <c r="E245" s="125"/>
      <c r="F245" s="125"/>
      <c r="G245" s="125"/>
      <c r="H245" s="125"/>
      <c r="I245" s="110" t="s">
        <v>384</v>
      </c>
      <c r="J245" s="134">
        <v>1</v>
      </c>
      <c r="K245" s="134">
        <v>0</v>
      </c>
      <c r="L245" s="154">
        <f>J245*K245</f>
        <v>0</v>
      </c>
      <c r="M245" s="55"/>
      <c r="Z245" s="144">
        <f>IF(AQ245="5",BJ245,0)</f>
        <v>0</v>
      </c>
      <c r="AB245" s="144">
        <f>IF(AQ245="1",BH245,0)</f>
        <v>0</v>
      </c>
      <c r="AC245" s="144">
        <f>IF(AQ245="1",BI245,0)</f>
        <v>0</v>
      </c>
      <c r="AD245" s="144">
        <f>IF(AQ245="7",BH245,0)</f>
        <v>0</v>
      </c>
      <c r="AE245" s="144">
        <f>IF(AQ245="7",BI245,0)</f>
        <v>0</v>
      </c>
      <c r="AF245" s="144">
        <f>IF(AQ245="2",BH245,0)</f>
        <v>0</v>
      </c>
      <c r="AG245" s="144">
        <f>IF(AQ245="2",BI245,0)</f>
        <v>0</v>
      </c>
      <c r="AH245" s="144">
        <f>IF(AQ245="0",BJ245,0)</f>
        <v>0</v>
      </c>
      <c r="AI245" s="143" t="s">
        <v>402</v>
      </c>
      <c r="AJ245" s="132">
        <f>IF(AN245=0,L245,0)</f>
        <v>0</v>
      </c>
      <c r="AK245" s="132">
        <f>IF(AN245=15,L245,0)</f>
        <v>0</v>
      </c>
      <c r="AL245" s="132">
        <f>IF(AN245=21,L245,0)</f>
        <v>0</v>
      </c>
      <c r="AN245" s="144">
        <v>21</v>
      </c>
      <c r="AO245" s="144">
        <f>K245*0</f>
        <v>0</v>
      </c>
      <c r="AP245" s="144">
        <f>K245*(1-0)</f>
        <v>0</v>
      </c>
      <c r="AQ245" s="145" t="s">
        <v>77</v>
      </c>
      <c r="AV245" s="144">
        <f>AW245+AX245</f>
        <v>0</v>
      </c>
      <c r="AW245" s="144">
        <f>J245*AO245</f>
        <v>0</v>
      </c>
      <c r="AX245" s="144">
        <f>J245*AP245</f>
        <v>0</v>
      </c>
      <c r="AY245" s="147" t="s">
        <v>412</v>
      </c>
      <c r="AZ245" s="147" t="s">
        <v>430</v>
      </c>
      <c r="BA245" s="143" t="s">
        <v>432</v>
      </c>
      <c r="BC245" s="144">
        <f>AW245+AX245</f>
        <v>0</v>
      </c>
      <c r="BD245" s="144">
        <f>K245/(100-BE245)*100</f>
        <v>0</v>
      </c>
      <c r="BE245" s="144">
        <v>0</v>
      </c>
      <c r="BF245" s="144">
        <f>245</f>
        <v>245</v>
      </c>
      <c r="BH245" s="132">
        <f>J245*AO245</f>
        <v>0</v>
      </c>
      <c r="BI245" s="132">
        <f>J245*AP245</f>
        <v>0</v>
      </c>
      <c r="BJ245" s="132">
        <f>J245*K245</f>
        <v>0</v>
      </c>
      <c r="BK245" s="132" t="s">
        <v>437</v>
      </c>
      <c r="BL245" s="144" t="s">
        <v>233</v>
      </c>
    </row>
    <row r="246" spans="1:12" ht="12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55">
        <f>L13+L41+L45+L54+L57+L78+L91+L108+L115+L118+L127+L159+L163+L172+L177+L198+L211+L228+L235+L238</f>
        <v>0</v>
      </c>
    </row>
    <row r="247" ht="9.75" customHeight="1">
      <c r="A247" s="100" t="s">
        <v>18</v>
      </c>
    </row>
    <row r="248" spans="1:12" ht="12.75" customHeight="1">
      <c r="A248" s="19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</sheetData>
  <mergeCells count="262"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  <mergeCell ref="H4:L5"/>
    <mergeCell ref="A6:B7"/>
    <mergeCell ref="C6:C7"/>
    <mergeCell ref="D6:E7"/>
    <mergeCell ref="F6:F7"/>
    <mergeCell ref="G6:G7"/>
    <mergeCell ref="H6:L7"/>
    <mergeCell ref="A8:B9"/>
    <mergeCell ref="C8:C9"/>
    <mergeCell ref="D8:E9"/>
    <mergeCell ref="F8:F9"/>
    <mergeCell ref="G8:G9"/>
    <mergeCell ref="H8:L9"/>
    <mergeCell ref="C10:H10"/>
    <mergeCell ref="C11:H11"/>
    <mergeCell ref="C12:H12"/>
    <mergeCell ref="C13:H13"/>
    <mergeCell ref="C14:H14"/>
    <mergeCell ref="C15:L15"/>
    <mergeCell ref="C16:H16"/>
    <mergeCell ref="C17:L17"/>
    <mergeCell ref="C18:H18"/>
    <mergeCell ref="C19:L19"/>
    <mergeCell ref="C20:L20"/>
    <mergeCell ref="C21:H21"/>
    <mergeCell ref="C22:H22"/>
    <mergeCell ref="C23:L23"/>
    <mergeCell ref="C24:H24"/>
    <mergeCell ref="C25:L25"/>
    <mergeCell ref="C26:L26"/>
    <mergeCell ref="C27:H27"/>
    <mergeCell ref="C28:L28"/>
    <mergeCell ref="C29:H29"/>
    <mergeCell ref="C30:L30"/>
    <mergeCell ref="C31:H31"/>
    <mergeCell ref="C32:L32"/>
    <mergeCell ref="C33:H33"/>
    <mergeCell ref="C34:L34"/>
    <mergeCell ref="C35:H35"/>
    <mergeCell ref="C36:L36"/>
    <mergeCell ref="C37:H37"/>
    <mergeCell ref="C38:L38"/>
    <mergeCell ref="C39:H39"/>
    <mergeCell ref="C40:L40"/>
    <mergeCell ref="C41:H41"/>
    <mergeCell ref="C42:H42"/>
    <mergeCell ref="C43:H43"/>
    <mergeCell ref="C44:L44"/>
    <mergeCell ref="C45:H45"/>
    <mergeCell ref="C46:H46"/>
    <mergeCell ref="C47:L47"/>
    <mergeCell ref="C48:H48"/>
    <mergeCell ref="C49:H49"/>
    <mergeCell ref="C50:L50"/>
    <mergeCell ref="C51:H51"/>
    <mergeCell ref="C52:H52"/>
    <mergeCell ref="C53:L53"/>
    <mergeCell ref="C54:H54"/>
    <mergeCell ref="C55:H55"/>
    <mergeCell ref="C56:L56"/>
    <mergeCell ref="C57:H57"/>
    <mergeCell ref="C58:H58"/>
    <mergeCell ref="C59:H59"/>
    <mergeCell ref="C60:L60"/>
    <mergeCell ref="C61:H61"/>
    <mergeCell ref="C62:L62"/>
    <mergeCell ref="C63:H63"/>
    <mergeCell ref="C64:L64"/>
    <mergeCell ref="C65:H65"/>
    <mergeCell ref="C66:L66"/>
    <mergeCell ref="C67:H67"/>
    <mergeCell ref="C68:L68"/>
    <mergeCell ref="C69:L69"/>
    <mergeCell ref="C70:H70"/>
    <mergeCell ref="C71:L71"/>
    <mergeCell ref="C72:L72"/>
    <mergeCell ref="C73:H73"/>
    <mergeCell ref="C74:L74"/>
    <mergeCell ref="C75:H75"/>
    <mergeCell ref="C76:H76"/>
    <mergeCell ref="C77:L77"/>
    <mergeCell ref="C78:H78"/>
    <mergeCell ref="C79:H79"/>
    <mergeCell ref="C80:L80"/>
    <mergeCell ref="C81:H81"/>
    <mergeCell ref="C82:L82"/>
    <mergeCell ref="C83:H83"/>
    <mergeCell ref="C84:L84"/>
    <mergeCell ref="C85:L85"/>
    <mergeCell ref="C86:H86"/>
    <mergeCell ref="C87:L87"/>
    <mergeCell ref="C88:H88"/>
    <mergeCell ref="C89:L89"/>
    <mergeCell ref="C90:H90"/>
    <mergeCell ref="C91:H91"/>
    <mergeCell ref="C92:H92"/>
    <mergeCell ref="C93:L93"/>
    <mergeCell ref="C94:L94"/>
    <mergeCell ref="C95:H95"/>
    <mergeCell ref="C96:L96"/>
    <mergeCell ref="C97:L97"/>
    <mergeCell ref="C98:H98"/>
    <mergeCell ref="C99:L99"/>
    <mergeCell ref="C100:H100"/>
    <mergeCell ref="C101:L101"/>
    <mergeCell ref="C102:H102"/>
    <mergeCell ref="C103:L103"/>
    <mergeCell ref="C104:L104"/>
    <mergeCell ref="C105:H105"/>
    <mergeCell ref="C106:L106"/>
    <mergeCell ref="C107:L107"/>
    <mergeCell ref="C108:H108"/>
    <mergeCell ref="C109:H109"/>
    <mergeCell ref="C110:H110"/>
    <mergeCell ref="C111:L111"/>
    <mergeCell ref="C112:H112"/>
    <mergeCell ref="C113:L113"/>
    <mergeCell ref="C114:L114"/>
    <mergeCell ref="C115:H115"/>
    <mergeCell ref="C116:H116"/>
    <mergeCell ref="C117:L117"/>
    <mergeCell ref="C118:H118"/>
    <mergeCell ref="C119:H119"/>
    <mergeCell ref="C120:H120"/>
    <mergeCell ref="C121:H121"/>
    <mergeCell ref="C122:L122"/>
    <mergeCell ref="C123:H123"/>
    <mergeCell ref="C124:H124"/>
    <mergeCell ref="C125:H125"/>
    <mergeCell ref="C126:H126"/>
    <mergeCell ref="C127:H127"/>
    <mergeCell ref="C128:H128"/>
    <mergeCell ref="C129:L129"/>
    <mergeCell ref="C130:H130"/>
    <mergeCell ref="C131:L131"/>
    <mergeCell ref="C132:H132"/>
    <mergeCell ref="C133:L133"/>
    <mergeCell ref="C134:L134"/>
    <mergeCell ref="C135:H135"/>
    <mergeCell ref="C136:H136"/>
    <mergeCell ref="C137:L137"/>
    <mergeCell ref="C138:H138"/>
    <mergeCell ref="C139:L139"/>
    <mergeCell ref="C140:H140"/>
    <mergeCell ref="C141:L141"/>
    <mergeCell ref="C142:H142"/>
    <mergeCell ref="C143:L143"/>
    <mergeCell ref="C144:L144"/>
    <mergeCell ref="C145:H145"/>
    <mergeCell ref="C146:L146"/>
    <mergeCell ref="C147:H147"/>
    <mergeCell ref="C148:L148"/>
    <mergeCell ref="C149:H149"/>
    <mergeCell ref="C150:L150"/>
    <mergeCell ref="C151:H151"/>
    <mergeCell ref="C152:L152"/>
    <mergeCell ref="C153:H153"/>
    <mergeCell ref="C154:L154"/>
    <mergeCell ref="C155:H155"/>
    <mergeCell ref="C156:L156"/>
    <mergeCell ref="C157:H157"/>
    <mergeCell ref="C158:L158"/>
    <mergeCell ref="C159:H159"/>
    <mergeCell ref="C160:H160"/>
    <mergeCell ref="C161:H161"/>
    <mergeCell ref="C162:L162"/>
    <mergeCell ref="C163:H163"/>
    <mergeCell ref="C164:H164"/>
    <mergeCell ref="C165:L165"/>
    <mergeCell ref="C166:H166"/>
    <mergeCell ref="C167:H167"/>
    <mergeCell ref="C168:L168"/>
    <mergeCell ref="C169:H169"/>
    <mergeCell ref="C170:H170"/>
    <mergeCell ref="C171:L171"/>
    <mergeCell ref="C172:H172"/>
    <mergeCell ref="C173:H173"/>
    <mergeCell ref="C174:L174"/>
    <mergeCell ref="C175:H175"/>
    <mergeCell ref="C176:L176"/>
    <mergeCell ref="C177:H177"/>
    <mergeCell ref="C178:H178"/>
    <mergeCell ref="C179:H179"/>
    <mergeCell ref="C180:L180"/>
    <mergeCell ref="C181:H181"/>
    <mergeCell ref="C182:L182"/>
    <mergeCell ref="C183:H183"/>
    <mergeCell ref="C184:L184"/>
    <mergeCell ref="C185:H185"/>
    <mergeCell ref="C186:L186"/>
    <mergeCell ref="C187:H187"/>
    <mergeCell ref="C188:L188"/>
    <mergeCell ref="C189:L189"/>
    <mergeCell ref="C190:H190"/>
    <mergeCell ref="C191:L191"/>
    <mergeCell ref="C192:L192"/>
    <mergeCell ref="C193:H193"/>
    <mergeCell ref="C194:L194"/>
    <mergeCell ref="C195:H195"/>
    <mergeCell ref="C196:H196"/>
    <mergeCell ref="C197:L197"/>
    <mergeCell ref="C198:H198"/>
    <mergeCell ref="C199:H199"/>
    <mergeCell ref="C200:L200"/>
    <mergeCell ref="C201:H201"/>
    <mergeCell ref="C202:L202"/>
    <mergeCell ref="C203:H203"/>
    <mergeCell ref="C204:L204"/>
    <mergeCell ref="C205:L205"/>
    <mergeCell ref="C206:H206"/>
    <mergeCell ref="C207:L207"/>
    <mergeCell ref="C208:H208"/>
    <mergeCell ref="C209:L209"/>
    <mergeCell ref="C210:H210"/>
    <mergeCell ref="C211:H211"/>
    <mergeCell ref="C212:H212"/>
    <mergeCell ref="C213:L213"/>
    <mergeCell ref="C214:L214"/>
    <mergeCell ref="C215:H215"/>
    <mergeCell ref="C216:L216"/>
    <mergeCell ref="C217:L217"/>
    <mergeCell ref="C218:H218"/>
    <mergeCell ref="C219:L219"/>
    <mergeCell ref="C220:H220"/>
    <mergeCell ref="C221:L221"/>
    <mergeCell ref="C222:H222"/>
    <mergeCell ref="C223:L223"/>
    <mergeCell ref="C224:L224"/>
    <mergeCell ref="C225:H225"/>
    <mergeCell ref="C226:L226"/>
    <mergeCell ref="C227:L227"/>
    <mergeCell ref="C228:H228"/>
    <mergeCell ref="C229:H229"/>
    <mergeCell ref="C230:H230"/>
    <mergeCell ref="C231:L231"/>
    <mergeCell ref="C232:H232"/>
    <mergeCell ref="C233:L233"/>
    <mergeCell ref="C234:L234"/>
    <mergeCell ref="C235:H235"/>
    <mergeCell ref="C236:H236"/>
    <mergeCell ref="C237:L237"/>
    <mergeCell ref="C238:H238"/>
    <mergeCell ref="C239:H239"/>
    <mergeCell ref="C240:H240"/>
    <mergeCell ref="C241:H241"/>
    <mergeCell ref="C242:L242"/>
    <mergeCell ref="C243:H243"/>
    <mergeCell ref="C244:H244"/>
    <mergeCell ref="C245:H245"/>
    <mergeCell ref="A248:L24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