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<sst xmlns="http://schemas.openxmlformats.org/spreadsheetml/2006/main" count="1159" uniqueCount="411">
  <si>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</si>
  <si>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</si>
  <si>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</si>
  <si>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</si>
  <si>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</si>
  <si>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</si>
  <si>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</si>
  <si>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</si>
  <si>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</si>
  <si>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</si>
  <si>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</si>
  <si>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</si>
  <si>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</si>
  <si>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</si>
  <si>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</si>
  <si>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</si>
  <si>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</si>
  <si>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</si>
  <si>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</si>
  <si>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</si>
  <si>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</si>
  <si>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</si>
  <si>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</si>
  <si>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</si>
  <si>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</si>
  <si>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</si>
  <si>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</si>
  <si>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</si>
  <si>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</si>
  <si>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</si>
  <si>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</si>
  <si>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</si>
  <si>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</si>
  <si>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</si>
  <si>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</si>
  <si>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</si>
  <si>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</si>
  <si>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</si>
  <si>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</si>
  <si>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</si>
  <si>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</si>
  <si>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</si>
  <si>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</si>
  <si>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</si>
  <si>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</si>
  <si>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</si>
  <si>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</si>
  <si>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</si>
  <si>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</si>
  <si>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</si>
  <si>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</si>
  <si>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</si>
  <si>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</si>
  <si>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</si>
  <si>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</si>
  <si>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</si>
  <si>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</si>
  <si>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</si>
  <si>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</si>
  <si>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</si>
  <si>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</si>
  <si>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</si>
  <si>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</si>
  <si>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</si>
  <si>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</si>
  <si>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</si>
  <si>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</si>
  <si>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</si>
  <si>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</si>
  <si>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</si>
  <si>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</si>
  <si>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</si>
  <si>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</si>
  <si>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</si>
  <si>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</si>
  <si>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</si>
  <si>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</si>
  <si>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</si>
  <si>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</si>
  <si>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</si>
  <si>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</si>
  <si>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</si>
  <si>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</si>
  <si>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Poznámka:</t>
  </si>
  <si>
    <t>Kód</t>
  </si>
  <si>
    <t>725</t>
  </si>
  <si>
    <t>725110811R00</t>
  </si>
  <si>
    <t>725119205R00</t>
  </si>
  <si>
    <t>725122813R00</t>
  </si>
  <si>
    <t>725120925R00</t>
  </si>
  <si>
    <t>725210821R00</t>
  </si>
  <si>
    <t>725210914R00</t>
  </si>
  <si>
    <t>725820801R00</t>
  </si>
  <si>
    <t>725829202R00</t>
  </si>
  <si>
    <t>725860811R00</t>
  </si>
  <si>
    <t>725869101R00</t>
  </si>
  <si>
    <t>725840850R00</t>
  </si>
  <si>
    <t>725849201R00</t>
  </si>
  <si>
    <t>725840860R00</t>
  </si>
  <si>
    <t>725849302R00</t>
  </si>
  <si>
    <t>59223915</t>
  </si>
  <si>
    <t>721</t>
  </si>
  <si>
    <t>721210812R00</t>
  </si>
  <si>
    <t>776</t>
  </si>
  <si>
    <t>776511810RT1</t>
  </si>
  <si>
    <t>965048230R00</t>
  </si>
  <si>
    <t>96</t>
  </si>
  <si>
    <t>968061125R00</t>
  </si>
  <si>
    <t>968072455R00</t>
  </si>
  <si>
    <t>978059531R00</t>
  </si>
  <si>
    <t>962031143R00</t>
  </si>
  <si>
    <t>967031732R00</t>
  </si>
  <si>
    <t>965081713R00</t>
  </si>
  <si>
    <t>965048150R00</t>
  </si>
  <si>
    <t>965043341R00</t>
  </si>
  <si>
    <t>967031742R00</t>
  </si>
  <si>
    <t>965041321R00</t>
  </si>
  <si>
    <t>721176103R00</t>
  </si>
  <si>
    <t>725249102R00</t>
  </si>
  <si>
    <t>551616940</t>
  </si>
  <si>
    <t>725249103R00</t>
  </si>
  <si>
    <t>721211501R00</t>
  </si>
  <si>
    <t>347240011RAA</t>
  </si>
  <si>
    <t>602011112RT1</t>
  </si>
  <si>
    <t>612403385R00</t>
  </si>
  <si>
    <t>784</t>
  </si>
  <si>
    <t>784402801R00</t>
  </si>
  <si>
    <t>784111101R00</t>
  </si>
  <si>
    <t>713121118RU1</t>
  </si>
  <si>
    <t>632411904R00</t>
  </si>
  <si>
    <t>632421220RT2</t>
  </si>
  <si>
    <t>713191100RT9</t>
  </si>
  <si>
    <t>631313711RM1</t>
  </si>
  <si>
    <t>273362021R00</t>
  </si>
  <si>
    <t>711</t>
  </si>
  <si>
    <t>711212000R00</t>
  </si>
  <si>
    <t>711212129R00</t>
  </si>
  <si>
    <t>711212231R00</t>
  </si>
  <si>
    <t>771</t>
  </si>
  <si>
    <t>776101121R00</t>
  </si>
  <si>
    <t>771575109R00</t>
  </si>
  <si>
    <t>58382410</t>
  </si>
  <si>
    <t>781491001RTY</t>
  </si>
  <si>
    <t>781</t>
  </si>
  <si>
    <t>781475124RT6</t>
  </si>
  <si>
    <t>771475014R00</t>
  </si>
  <si>
    <t>771479001R00</t>
  </si>
  <si>
    <t>781497111RS4</t>
  </si>
  <si>
    <t>781491001R00</t>
  </si>
  <si>
    <t>781491001RT1</t>
  </si>
  <si>
    <t>781491001RTX</t>
  </si>
  <si>
    <t>342012121R00</t>
  </si>
  <si>
    <t>342012122R00</t>
  </si>
  <si>
    <t>766</t>
  </si>
  <si>
    <t>766660034RA0</t>
  </si>
  <si>
    <t>55330368</t>
  </si>
  <si>
    <t>55330313</t>
  </si>
  <si>
    <t>55330333</t>
  </si>
  <si>
    <t>784115212R00</t>
  </si>
  <si>
    <t>P</t>
  </si>
  <si>
    <t>998011001R00</t>
  </si>
  <si>
    <t>S</t>
  </si>
  <si>
    <t>979082111R00</t>
  </si>
  <si>
    <t>979083116R00</t>
  </si>
  <si>
    <t>979990101R00</t>
  </si>
  <si>
    <t>TJ Sokol Brno - Obřany - Maloměřice - Oprava sprch a šaten ve sportovní hale</t>
  </si>
  <si>
    <t>Sportovní hala</t>
  </si>
  <si>
    <t>Zkrácený popis</t>
  </si>
  <si>
    <t>Rozměry</t>
  </si>
  <si>
    <t>Zařizovací předměty (demontáž a montáž)</t>
  </si>
  <si>
    <t>Zařizovací předměty</t>
  </si>
  <si>
    <t>Demontáž klozetů splachovacích</t>
  </si>
  <si>
    <t>Montáž klozetových mís normálních</t>
  </si>
  <si>
    <t>Demontáž pisoárů</t>
  </si>
  <si>
    <t>Zpětná montáž pisoárové mušle</t>
  </si>
  <si>
    <t>Demontáž umyvadel s výtokovými armaturami</t>
  </si>
  <si>
    <t>Zpětná montáž umyvadla s výtokovými armaturami</t>
  </si>
  <si>
    <t>Demontáž baterie nástěnné do G 3/4</t>
  </si>
  <si>
    <t>Montáž baterie umyv.a dřezové nástěnné</t>
  </si>
  <si>
    <t>Demontáž uzávěrek zápachových jednoduchých</t>
  </si>
  <si>
    <t>Montáž uzávěrek zápach.umyvadlových D 32</t>
  </si>
  <si>
    <t>Demontáž baterie sprch.diferenciální G 3/4x1</t>
  </si>
  <si>
    <t>Montáž baterií sprchových, pevná výška</t>
  </si>
  <si>
    <t>Demontáž ramene sprchy</t>
  </si>
  <si>
    <t>Montáž ramene sprchy + výměna hlavice za novou</t>
  </si>
  <si>
    <t>Sprchová hlavice (stejná nebo obdobná jako stávající)</t>
  </si>
  <si>
    <t>Bourací práce</t>
  </si>
  <si>
    <t>Vnitřní kanalizace</t>
  </si>
  <si>
    <t>Demontáž vpusti v podlaze (sprchy)</t>
  </si>
  <si>
    <t>Podlahy povlakové</t>
  </si>
  <si>
    <t>Odstranění PVC a koberců lepených bez podložky (lino v šatnách)</t>
  </si>
  <si>
    <t>Dočištění povrchu po demontáži PVC krytiny, lepené (pro pokládku dlažby)</t>
  </si>
  <si>
    <t>Bourání konstrukcí</t>
  </si>
  <si>
    <t>Vyvěšení dřevěných dveřních křídel pl. do 2 m2</t>
  </si>
  <si>
    <t>Vybourání kovových dveřních zárubní pl. do 2 m2</t>
  </si>
  <si>
    <t>Odsekání vnitřních keramických obkladů stěn nad 2 m2 (z příček k demolici)</t>
  </si>
  <si>
    <t>Bourání příček z tvárnic pórobetonových tl.100mm</t>
  </si>
  <si>
    <t>Přisekání plošné zdiva cihelného na MVC tl. 10 cm (6x rozšíření dveř.otvoru o 10cm)</t>
  </si>
  <si>
    <t>Bourání dlažeb keramických tl.10 mm, nad 1 m2</t>
  </si>
  <si>
    <t>Dočištění povrchu po vybourání dlažeb, tmel do 50% (plochy mimo sprchu)</t>
  </si>
  <si>
    <t>Bourání podkladů bet., potěr tl. 10 cm, nad 4 m2 (ve sprchách)</t>
  </si>
  <si>
    <t>Vybourání prahu z betonu tl.100mm (mezi sprchou a předsíňkou)</t>
  </si>
  <si>
    <t>Bourání lehčených mazanin, tl.10 cm, pl. 1 m2 (přípojka vpusti na stávající KG)</t>
  </si>
  <si>
    <t>Kanalizace</t>
  </si>
  <si>
    <t>Potrubí HT připojovací D 50 x 1,8 mm vč.napojení na stávající KG potrubí</t>
  </si>
  <si>
    <t>Montáž sprchového žlabu l=3000mm, kotveno do betonu vč. napojení hydroizolací</t>
  </si>
  <si>
    <t>Sprchový žlab ATYP s nerezovou mřížkou, rozměr cca 3000x80x80mm, 2x sifon, 2x DN50 odtok</t>
  </si>
  <si>
    <t>Montáž podlahové vpusti do podlahy z betonu vč. napojení hydroizolací</t>
  </si>
  <si>
    <t>Podlahová vpust 150x150mm, nerez</t>
  </si>
  <si>
    <t>Vysprávka stěn</t>
  </si>
  <si>
    <t>Stěny a příčky</t>
  </si>
  <si>
    <t>Přizdívka stěny v otvoru pro dveře, z cihel, tl.100mm (cca 10cm pro dveřní zárubeň)</t>
  </si>
  <si>
    <t>Omítky ze suchých směsí</t>
  </si>
  <si>
    <t>Omítka jádrová Cemix 082, do 10mm, ručně (doplnění roviny obkladů stěn)</t>
  </si>
  <si>
    <t>Úprava povrchů vnitřní</t>
  </si>
  <si>
    <t>Hrubá výplň rýh ve stěnách do 10x5 cm maltou z SMS</t>
  </si>
  <si>
    <t>Malby</t>
  </si>
  <si>
    <t>Odstranění malby oškrábáním v místnosti H do 3,8 m</t>
  </si>
  <si>
    <t>Penetrace podkladu pod omítku</t>
  </si>
  <si>
    <t>Podlahové konstrukce</t>
  </si>
  <si>
    <t>Podlahy a podlahové konstrukce</t>
  </si>
  <si>
    <t>Montáž dilatačního pásku podél stěn</t>
  </si>
  <si>
    <t>Penetrace pod cementový potěr</t>
  </si>
  <si>
    <t>Cementový potěr podlahový, vrstva 20mm, pevnost 30MPa, provedení ve spádu</t>
  </si>
  <si>
    <t>Položení separační fólie (pod beton)</t>
  </si>
  <si>
    <t>Mazanina betonová tl. 8 - 12 cm C 25/30, provedení ve spádu</t>
  </si>
  <si>
    <t>Výztuž betonových desek ze svařovaných sití KARI</t>
  </si>
  <si>
    <t>Hydroizolace</t>
  </si>
  <si>
    <t>Izolace proti vodě</t>
  </si>
  <si>
    <t>Penetrace podkladu pod hydroizolační nátěr,vč.dod. (podlahy)</t>
  </si>
  <si>
    <t>Penetrace podkladu pod hydroizolační nátěr,vč.dod. (stěny)</t>
  </si>
  <si>
    <t>Dvousložková cementová hydroizolační stěrka, ve 2 vrstvách na podlahách</t>
  </si>
  <si>
    <t>Dvousložková cementová hydroizolační stěrka, ve 2 vrstvách na stěnách</t>
  </si>
  <si>
    <t>Těsnicí pás do spoje podlaha - stěna - žlab</t>
  </si>
  <si>
    <t>Obklady a dlažba</t>
  </si>
  <si>
    <t>Podlahy z dlaždic</t>
  </si>
  <si>
    <t>Provedení penetrace podkladu pod.keram.dlažbu</t>
  </si>
  <si>
    <t>Montáž podlah keram.,hladké, tmel, 30x30cm a 60x60cm</t>
  </si>
  <si>
    <t>Keramická dlažba 300x300mm, R11</t>
  </si>
  <si>
    <t>Keramická dlažba 600x600mm, R10</t>
  </si>
  <si>
    <t>Keramická dlažba 600x600mm, R09</t>
  </si>
  <si>
    <t>Dilatační profil pro podlahu z keram.dlaždic, plastový</t>
  </si>
  <si>
    <t>Obklady (keramické)</t>
  </si>
  <si>
    <t>Obklad vnitřní stěn keramický, do tmele, 30x60cm</t>
  </si>
  <si>
    <t>Provedení penetrace podkladu pod.keram.obklady</t>
  </si>
  <si>
    <t>Obklad soklíků keram.rovných, tmel,výška 10 cm</t>
  </si>
  <si>
    <t>Keramický obklad 300x600mm</t>
  </si>
  <si>
    <t>Řezání dlaždic keramických pro soklíky</t>
  </si>
  <si>
    <t>Lišta hliníková ukončovací k obkladům tl.12,5mm</t>
  </si>
  <si>
    <t>Tmelení koutů a spojů silikonem</t>
  </si>
  <si>
    <t>Tmelení akrylátovým tmelem (soklík, obklad-strop)</t>
  </si>
  <si>
    <t>Vykružování děr do obkladů keramických, tl. do 10mm, D do 50mm</t>
  </si>
  <si>
    <t>Sanitární příčky</t>
  </si>
  <si>
    <t>D+M Sanitární příčka AL, elox, pisoárová 500x1500mm, výplň HPL RAL9035, kotveno do stěn</t>
  </si>
  <si>
    <t>D+M Sanitární příčka AL, elox, T-kabina v=2m, dveře š.600mm, výplň HPL RAL9035, kotveno do stěn</t>
  </si>
  <si>
    <t>Dveře a zárubně</t>
  </si>
  <si>
    <t>Konstrukce truhlářské</t>
  </si>
  <si>
    <t>Montáž dveří a obložkové zárubně šířky 80 cm vč. kování</t>
  </si>
  <si>
    <t>Zárubeň, plastová, bíla, tl.100-150mm</t>
  </si>
  <si>
    <t>Dveŕní křídlo, plastové, bílé</t>
  </si>
  <si>
    <t>Kování dveří, klika oboustr., nerez, mat</t>
  </si>
  <si>
    <t>Výmalba</t>
  </si>
  <si>
    <t>Penetrace podkladu pod výmalbu</t>
  </si>
  <si>
    <t>Malba standard, bílá, bez penetr.,2 x</t>
  </si>
  <si>
    <t>Odvoz a likvidace odpadu, přesuny hmot</t>
  </si>
  <si>
    <t>Vnitrostaveništní přesun hmot</t>
  </si>
  <si>
    <t>Přesun hmot pro budovy zděné výšky do 6 m</t>
  </si>
  <si>
    <t>Přesuny sutí</t>
  </si>
  <si>
    <t>Vnitrostaveništní doprava suti do 10 m</t>
  </si>
  <si>
    <t>Vodorovné přemístění suti na skládku do 5000 m</t>
  </si>
  <si>
    <t>Poplatek za sklád.suti-směs bet.a cihel do 30x30cm</t>
  </si>
  <si>
    <t>Doba výstavby:</t>
  </si>
  <si>
    <t>Začátek výstavby:</t>
  </si>
  <si>
    <t>Konec výstavby:</t>
  </si>
  <si>
    <t>Zpracováno dne:</t>
  </si>
  <si>
    <t>32 dní</t>
  </si>
  <si>
    <t>15.05.2024</t>
  </si>
  <si>
    <t>15.06.2024</t>
  </si>
  <si>
    <t>28.02.2024</t>
  </si>
  <si>
    <t>MJ</t>
  </si>
  <si>
    <t>soubor</t>
  </si>
  <si>
    <t>kus</t>
  </si>
  <si>
    <t>m2</t>
  </si>
  <si>
    <t>m3</t>
  </si>
  <si>
    <t>m</t>
  </si>
  <si>
    <t>t</t>
  </si>
  <si>
    <t>kpl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</si>
  <si>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</si>
  <si>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</si>
  <si>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</si>
  <si>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</si>
  <si>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</si>
  <si>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</si>
  <si>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</si>
  <si>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</si>
  <si>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Bc. Petr Hriš</t>
  </si>
  <si>
    <t>Náklady (Kč)</t>
  </si>
  <si>
    <t>Dodávka</t>
  </si>
  <si>
    <t>Celkem: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</si>
  <si>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</si>
  <si>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</si>
  <si>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</si>
  <si>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</si>
  <si>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</si>
  <si>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</si>
  <si>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</si>
  <si>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</si>
  <si>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</si>
  <si>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</si>
  <si>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</si>
  <si>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</si>
  <si>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</si>
  <si>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</si>
  <si>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</si>
  <si>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</si>
  <si>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</si>
  <si>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</si>
  <si>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</si>
  <si>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</si>
  <si>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</si>
  <si>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</si>
  <si>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725_</t>
  </si>
  <si>
    <t>721_</t>
  </si>
  <si>
    <t>776_</t>
  </si>
  <si>
    <t>96_</t>
  </si>
  <si>
    <t>34_</t>
  </si>
  <si>
    <t>60_</t>
  </si>
  <si>
    <t>61_</t>
  </si>
  <si>
    <t>784_</t>
  </si>
  <si>
    <t>63_</t>
  </si>
  <si>
    <t>711_</t>
  </si>
  <si>
    <t>771_</t>
  </si>
  <si>
    <t>781_</t>
  </si>
  <si>
    <t>766_</t>
  </si>
  <si>
    <t>P_</t>
  </si>
  <si>
    <t>S_</t>
  </si>
  <si>
    <t>001_72_</t>
  </si>
  <si>
    <t>002_72_</t>
  </si>
  <si>
    <t>002_77_</t>
  </si>
  <si>
    <t>002_9_</t>
  </si>
  <si>
    <t>003_72_</t>
  </si>
  <si>
    <t>004_3_</t>
  </si>
  <si>
    <t>004_6_</t>
  </si>
  <si>
    <t>004_78_</t>
  </si>
  <si>
    <t>005_6_</t>
  </si>
  <si>
    <t>006_71_</t>
  </si>
  <si>
    <t>007_77_</t>
  </si>
  <si>
    <t>007_78_</t>
  </si>
  <si>
    <t>008_3_</t>
  </si>
  <si>
    <t>009_76_</t>
  </si>
  <si>
    <t>010_78_</t>
  </si>
  <si>
    <t>011_9_</t>
  </si>
  <si>
    <t>001_</t>
  </si>
  <si>
    <t>002_</t>
  </si>
  <si>
    <t>003_</t>
  </si>
  <si>
    <t>004_</t>
  </si>
  <si>
    <t>005_</t>
  </si>
  <si>
    <t>006_</t>
  </si>
  <si>
    <t>007_</t>
  </si>
  <si>
    <t>008_</t>
  </si>
  <si>
    <t>009_</t>
  </si>
  <si>
    <t>010_</t>
  </si>
  <si>
    <t>011_</t>
  </si>
  <si>
    <t>MAT</t>
  </si>
  <si>
    <t>WORK</t>
  </si>
  <si>
    <t>CELK</t>
  </si>
  <si>
    <t>ISWORK</t>
  </si>
  <si>
    <t>M</t>
  </si>
  <si>
    <t>GROUPCODE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</si>
  <si>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</si>
  <si>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</si>
  <si>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</si>
  <si>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</si>
  <si>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</si>
  <si>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F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</si>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</sst>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10"/>
      <name val="Arial"/>
      <family val="0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9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4" fillId="33" borderId="11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1" fillId="34" borderId="21" xfId="0" applyNumberFormat="1" applyFont="1" applyFill="1" applyBorder="1" applyAlignment="1" applyProtection="1">
      <alignment horizontal="center" vertical="center"/>
      <protection/>
    </xf>
    <xf numFmtId="49" fontId="12" fillId="0" borderId="22" xfId="0" applyNumberFormat="1" applyFont="1" applyFill="1" applyBorder="1" applyAlignment="1" applyProtection="1">
      <alignment horizontal="left" vertical="center"/>
      <protection/>
    </xf>
    <xf numFmtId="49" fontId="12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7" fillId="0" borderId="25" xfId="0" applyNumberFormat="1" applyFont="1" applyFill="1" applyBorder="1" applyAlignment="1" applyProtection="1">
      <alignment horizontal="left" vertical="center"/>
      <protection/>
    </xf>
    <xf numFmtId="49" fontId="13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13" fillId="0" borderId="21" xfId="0" applyNumberFormat="1" applyFont="1" applyFill="1" applyBorder="1" applyAlignment="1" applyProtection="1">
      <alignment horizontal="right" vertical="center"/>
      <protection/>
    </xf>
    <xf numFmtId="49" fontId="13" fillId="0" borderId="21" xfId="0" applyNumberFormat="1" applyFont="1" applyFill="1" applyBorder="1" applyAlignment="1" applyProtection="1">
      <alignment horizontal="right" vertical="center"/>
      <protection/>
    </xf>
    <xf numFmtId="4" fontId="13" fillId="0" borderId="27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2" fillId="34" borderId="31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5" fillId="35" borderId="34" xfId="0" applyNumberFormat="1" applyFont="1" applyFill="1" applyBorder="1" applyAlignment="1" applyProtection="1">
      <alignment horizontal="left" vertical="center"/>
      <protection/>
    </xf>
    <xf numFmtId="49" fontId="16" fillId="35" borderId="34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" fontId="16" fillId="35" borderId="34" xfId="0" applyNumberFormat="1" applyFont="1" applyFill="1" applyBorder="1" applyAlignment="1" applyProtection="1">
      <alignment horizontal="right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" fontId="17" fillId="0" borderId="0" xfId="0" applyNumberFormat="1" applyFont="1" applyFill="1" applyBorder="1" applyAlignment="1" applyProtection="1">
      <alignment horizontal="right" vertical="center"/>
      <protection/>
    </xf>
    <xf numFmtId="49" fontId="15" fillId="35" borderId="38" xfId="0" applyNumberFormat="1" applyFont="1" applyFill="1" applyBorder="1" applyAlignment="1" applyProtection="1">
      <alignment horizontal="left" vertical="center"/>
      <protection/>
    </xf>
    <xf numFmtId="49" fontId="16" fillId="35" borderId="38" xfId="0" applyNumberFormat="1" applyFont="1" applyFill="1" applyBorder="1" applyAlignment="1" applyProtection="1">
      <alignment horizontal="left" vertical="center"/>
      <protection/>
    </xf>
    <xf numFmtId="4" fontId="16" fillId="35" borderId="38" xfId="0" applyNumberFormat="1" applyFont="1" applyFill="1" applyBorder="1" applyAlignment="1" applyProtection="1">
      <alignment horizontal="right" vertic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49" fontId="16" fillId="35" borderId="47" xfId="0" applyNumberFormat="1" applyFont="1" applyFill="1" applyBorder="1" applyAlignment="1" applyProtection="1">
      <alignment horizontal="left" vertical="center"/>
      <protection/>
    </xf>
    <xf numFmtId="0" fontId="8" fillId="36" borderId="25" xfId="0" applyNumberFormat="1" applyFont="1" applyFill="1" applyBorder="1" applyAlignment="1" applyProtection="1">
      <alignment horizontal="left" vertical="center"/>
      <protection/>
    </xf>
    <xf numFmtId="0" fontId="8" fillId="36" borderId="34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16" fillId="35" borderId="48" xfId="0" applyNumberFormat="1" applyFont="1" applyFill="1" applyBorder="1" applyAlignment="1" applyProtection="1">
      <alignment horizontal="left" vertical="center"/>
      <protection/>
    </xf>
    <xf numFmtId="0" fontId="8" fillId="36" borderId="0" xfId="0" applyNumberFormat="1" applyFont="1" applyFill="1" applyBorder="1" applyAlignment="1" applyProtection="1">
      <alignment horizontal="left" vertical="center"/>
      <protection/>
    </xf>
    <xf numFmtId="0" fontId="8" fillId="36" borderId="38" xfId="0" applyNumberFormat="1" applyFont="1" applyFill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49" xfId="0" applyNumberFormat="1" applyFont="1" applyFill="1" applyBorder="1" applyAlignment="1" applyProtection="1">
      <alignment horizontal="left" vertical="center"/>
      <protection/>
    </xf>
    <xf numFmtId="0" fontId="3" fillId="0" borderId="5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49" fontId="10" fillId="0" borderId="52" xfId="0" applyNumberFormat="1" applyFont="1" applyFill="1" applyBorder="1" applyAlignment="1" applyProtection="1">
      <alignment horizontal="center" vertical="center"/>
      <protection/>
    </xf>
    <xf numFmtId="0" fontId="10" fillId="0" borderId="52" xfId="0" applyNumberFormat="1" applyFont="1" applyFill="1" applyBorder="1" applyAlignment="1" applyProtection="1">
      <alignment horizontal="center" vertical="center"/>
      <protection/>
    </xf>
    <xf numFmtId="49" fontId="14" fillId="0" borderId="30" xfId="0" applyNumberFormat="1" applyFont="1" applyFill="1" applyBorder="1" applyAlignment="1" applyProtection="1">
      <alignment horizontal="left" vertical="center"/>
      <protection/>
    </xf>
    <xf numFmtId="0" fontId="14" fillId="0" borderId="31" xfId="0" applyNumberFormat="1" applyFont="1" applyFill="1" applyBorder="1" applyAlignment="1" applyProtection="1">
      <alignment horizontal="left" vertical="center"/>
      <protection/>
    </xf>
    <xf numFmtId="49" fontId="13" fillId="0" borderId="30" xfId="0" applyNumberFormat="1" applyFont="1" applyFill="1" applyBorder="1" applyAlignment="1" applyProtection="1">
      <alignment horizontal="left" vertical="center"/>
      <protection/>
    </xf>
    <xf numFmtId="0" fontId="13" fillId="0" borderId="31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0" fontId="12" fillId="0" borderId="31" xfId="0" applyNumberFormat="1" applyFont="1" applyFill="1" applyBorder="1" applyAlignment="1" applyProtection="1">
      <alignment horizontal="left" vertical="center"/>
      <protection/>
    </xf>
    <xf numFmtId="49" fontId="12" fillId="34" borderId="30" xfId="0" applyNumberFormat="1" applyFont="1" applyFill="1" applyBorder="1" applyAlignment="1" applyProtection="1">
      <alignment horizontal="left" vertical="center"/>
      <protection/>
    </xf>
    <xf numFmtId="0" fontId="12" fillId="34" borderId="52" xfId="0" applyNumberFormat="1" applyFont="1" applyFill="1" applyBorder="1" applyAlignment="1" applyProtection="1">
      <alignment horizontal="left" vertical="center"/>
      <protection/>
    </xf>
    <xf numFmtId="49" fontId="13" fillId="0" borderId="53" xfId="0" applyNumberFormat="1" applyFont="1" applyFill="1" applyBorder="1" applyAlignment="1" applyProtection="1">
      <alignment horizontal="left" vertical="center"/>
      <protection/>
    </xf>
    <xf numFmtId="0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54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55" xfId="0" applyNumberFormat="1" applyFont="1" applyFill="1" applyBorder="1" applyAlignment="1" applyProtection="1">
      <alignment horizontal="left" vertical="center"/>
      <protection/>
    </xf>
    <xf numFmtId="49" fontId="13" fillId="0" borderId="56" xfId="0" applyNumberFormat="1" applyFont="1" applyFill="1" applyBorder="1" applyAlignment="1" applyProtection="1">
      <alignment horizontal="left" vertical="center"/>
      <protection/>
    </xf>
    <xf numFmtId="0" fontId="13" fillId="0" borderId="41" xfId="0" applyNumberFormat="1" applyFont="1" applyFill="1" applyBorder="1" applyAlignment="1" applyProtection="1">
      <alignment horizontal="left" vertical="center"/>
      <protection/>
    </xf>
    <xf numFmtId="0" fontId="13" fillId="0" borderId="57" xfId="0" applyNumberFormat="1" applyFont="1" applyFill="1" applyBorder="1" applyAlignment="1" applyProtection="1">
      <alignment horizontal="left" vertical="center"/>
      <protection/>
    </xf>
    <xf numFmtId="49" fontId="1" fillId="37" borderId="43" xfId="0" applyNumberFormat="1" applyFont="1" applyFill="1" applyBorder="1" applyAlignment="1" applyProtection="1">
      <alignment horizontal="left" vertical="center"/>
      <protection/>
    </xf>
    <xf numFmtId="49" fontId="1" fillId="37" borderId="25" xfId="0" applyNumberFormat="1" applyFont="1" applyFill="1" applyBorder="1" applyAlignment="1" applyProtection="1">
      <alignment horizontal="left" vertical="center"/>
      <protection/>
    </xf>
    <xf numFmtId="49" fontId="1" fillId="37" borderId="25" xfId="0" applyNumberFormat="1" applyFont="1" applyFill="1" applyBorder="1" applyAlignment="1" applyProtection="1">
      <alignment horizontal="left" vertical="center"/>
      <protection/>
    </xf>
    <xf numFmtId="0" fontId="1" fillId="37" borderId="25" xfId="0" applyNumberFormat="1" applyFont="1" applyFill="1" applyBorder="1" applyAlignment="1" applyProtection="1">
      <alignment horizontal="left" vertical="center"/>
      <protection/>
    </xf>
    <xf numFmtId="4" fontId="1" fillId="37" borderId="25" xfId="0" applyNumberFormat="1" applyFont="1" applyFill="1" applyBorder="1" applyAlignment="1" applyProtection="1">
      <alignment horizontal="right" vertical="center"/>
      <protection/>
    </xf>
    <xf numFmtId="49" fontId="1" fillId="37" borderId="11" xfId="0" applyNumberFormat="1" applyFont="1" applyFill="1" applyBorder="1" applyAlignment="1" applyProtection="1">
      <alignment horizontal="left" vertical="center"/>
      <protection/>
    </xf>
    <xf numFmtId="49" fontId="1" fillId="37" borderId="0" xfId="0" applyNumberFormat="1" applyFont="1" applyFill="1" applyBorder="1" applyAlignment="1" applyProtection="1">
      <alignment horizontal="left" vertical="center"/>
      <protection/>
    </xf>
    <xf numFmtId="49" fontId="1" fillId="37" borderId="0" xfId="0" applyNumberFormat="1" applyFont="1" applyFill="1" applyBorder="1" applyAlignment="1" applyProtection="1">
      <alignment horizontal="left" vertical="center"/>
      <protection/>
    </xf>
    <xf numFmtId="0" fontId="1" fillId="37" borderId="0" xfId="0" applyNumberFormat="1" applyFont="1" applyFill="1" applyBorder="1" applyAlignment="1" applyProtection="1">
      <alignment horizontal="left" vertical="center"/>
      <protection/>
    </xf>
    <xf numFmtId="4" fontId="1" fillId="37" borderId="0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0000"/>
      <rgbColor rgb="00000000"/>
      <rgbColor rgb="00C0C0C0"/>
      <rgbColor rgb="00C0C0C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K13" sqref="K1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1"/>
      <c r="B1" s="34"/>
      <c r="C1" s="113" t="s">
        <v>391</v>
      </c>
      <c r="D1" s="69"/>
      <c r="E1" s="69"/>
      <c r="F1" s="69"/>
      <c r="G1" s="69"/>
      <c r="H1" s="69"/>
      <c r="I1" s="69"/>
    </row>
    <row r="2" spans="1:10" ht="12.75">
      <c r="A2" s="70" t="s">
        <v>1</v>
      </c>
      <c r="B2" s="71"/>
      <c r="C2" s="74" t="str">
        <f>'Stavební rozpočet'!C2</f>
        <v>TJ Sokol Brno - Obřany - Maloměřice - Oprava sprch a šaten ve sportovní hale</v>
      </c>
      <c r="D2" s="110"/>
      <c r="E2" s="77" t="s">
        <v>288</v>
      </c>
      <c r="F2" s="77" t="str">
        <f>'Stavební rozpočet'!I2</f>
        <v> </v>
      </c>
      <c r="G2" s="71"/>
      <c r="H2" s="77" t="s">
        <v>407</v>
      </c>
      <c r="I2" s="114"/>
      <c r="J2" s="18"/>
    </row>
    <row r="3" spans="1:10" ht="25.5" customHeight="1">
      <c r="A3" s="72"/>
      <c r="B3" s="73"/>
      <c r="C3" s="75"/>
      <c r="D3" s="75"/>
      <c r="E3" s="73"/>
      <c r="F3" s="73"/>
      <c r="G3" s="73"/>
      <c r="H3" s="73"/>
      <c r="I3" s="79"/>
      <c r="J3" s="18"/>
    </row>
    <row r="4" spans="1:10" ht="12.75">
      <c r="A4" s="80" t="s">
        <v>2</v>
      </c>
      <c r="B4" s="73"/>
      <c r="C4" s="81" t="str">
        <f>'Stavební rozpočet'!C4</f>
        <v>Sportovní hala</v>
      </c>
      <c r="D4" s="73"/>
      <c r="E4" s="81" t="s">
        <v>289</v>
      </c>
      <c r="F4" s="81"/>
      <c r="G4" s="73"/>
      <c r="H4" s="81" t="s">
        <v>407</v>
      </c>
      <c r="I4" s="115"/>
      <c r="J4" s="18"/>
    </row>
    <row r="5" spans="1:10" ht="12.75">
      <c r="A5" s="72"/>
      <c r="B5" s="73"/>
      <c r="C5" s="73"/>
      <c r="D5" s="73"/>
      <c r="E5" s="73"/>
      <c r="F5" s="73"/>
      <c r="G5" s="73"/>
      <c r="H5" s="73"/>
      <c r="I5" s="79"/>
      <c r="J5" s="18"/>
    </row>
    <row r="6" spans="1:10" ht="12.75">
      <c r="A6" s="80" t="s">
        <v>3</v>
      </c>
      <c r="B6" s="73"/>
      <c r="C6" s="81" t="str">
        <f>'Stavební rozpočet'!C6</f>
        <v> </v>
      </c>
      <c r="D6" s="73"/>
      <c r="E6" s="81" t="s">
        <v>290</v>
      </c>
      <c r="F6" s="81" t="str">
        <f>'Stavební rozpočet'!I6</f>
        <v> </v>
      </c>
      <c r="G6" s="73"/>
      <c r="H6" s="81" t="s">
        <v>407</v>
      </c>
      <c r="I6" s="115"/>
      <c r="J6" s="18"/>
    </row>
    <row r="7" spans="1:10" ht="12.75">
      <c r="A7" s="72"/>
      <c r="B7" s="73"/>
      <c r="C7" s="73"/>
      <c r="D7" s="73"/>
      <c r="E7" s="73"/>
      <c r="F7" s="73"/>
      <c r="G7" s="73"/>
      <c r="H7" s="73"/>
      <c r="I7" s="79"/>
      <c r="J7" s="18"/>
    </row>
    <row r="8" spans="1:10" ht="12.75">
      <c r="A8" s="80" t="s">
        <v>272</v>
      </c>
      <c r="B8" s="73"/>
      <c r="C8" s="81" t="str">
        <f>'Stavební rozpočet'!F4</f>
        <v>15.05.2024</v>
      </c>
      <c r="D8" s="73"/>
      <c r="E8" s="81" t="s">
        <v>273</v>
      </c>
      <c r="F8" s="81" t="str">
        <f>'Stavební rozpočet'!F6</f>
        <v>15.06.2024</v>
      </c>
      <c r="G8" s="73"/>
      <c r="H8" s="82" t="s">
        <v>408</v>
      </c>
      <c r="I8" s="115" t="s">
        <v>82</v>
      </c>
      <c r="J8" s="18"/>
    </row>
    <row r="9" spans="1:10" ht="12.75">
      <c r="A9" s="72"/>
      <c r="B9" s="73"/>
      <c r="C9" s="73"/>
      <c r="D9" s="73"/>
      <c r="E9" s="73"/>
      <c r="F9" s="73"/>
      <c r="G9" s="73"/>
      <c r="H9" s="73"/>
      <c r="I9" s="79"/>
      <c r="J9" s="18"/>
    </row>
    <row r="10" spans="1:10" ht="12.75">
      <c r="A10" s="80" t="s">
        <v>4</v>
      </c>
      <c r="B10" s="73"/>
      <c r="C10" s="81" t="str">
        <f>'Stavební rozpočet'!C8</f>
        <v> </v>
      </c>
      <c r="D10" s="73"/>
      <c r="E10" s="81" t="s">
        <v>291</v>
      </c>
      <c r="F10" s="81" t="str">
        <f>'Stavební rozpočet'!I8</f>
        <v>Bc. Petr Hriš</v>
      </c>
      <c r="G10" s="73"/>
      <c r="H10" s="82" t="s">
        <v>409</v>
      </c>
      <c r="I10" s="118" t="str">
        <f>'Stavební rozpočet'!F8</f>
        <v>28.02.2024</v>
      </c>
      <c r="J10" s="18"/>
    </row>
    <row r="11" spans="1:10" ht="12.75">
      <c r="A11" s="116"/>
      <c r="B11" s="117"/>
      <c r="C11" s="117"/>
      <c r="D11" s="117"/>
      <c r="E11" s="117"/>
      <c r="F11" s="117"/>
      <c r="G11" s="117"/>
      <c r="H11" s="117"/>
      <c r="I11" s="119"/>
      <c r="J11" s="18"/>
    </row>
    <row r="12" spans="1:9" ht="23.25" customHeight="1">
      <c r="A12" s="120" t="s">
        <v>376</v>
      </c>
      <c r="B12" s="121"/>
      <c r="C12" s="121"/>
      <c r="D12" s="121"/>
      <c r="E12" s="121"/>
      <c r="F12" s="121"/>
      <c r="G12" s="121"/>
      <c r="H12" s="121"/>
      <c r="I12" s="121"/>
    </row>
    <row r="13" spans="1:10" ht="26.25" customHeight="1">
      <c r="A13" s="35" t="s">
        <v>377</v>
      </c>
      <c r="B13" s="122" t="s">
        <v>389</v>
      </c>
      <c r="C13" s="123"/>
      <c r="D13" s="35" t="s">
        <v>392</v>
      </c>
      <c r="E13" s="122" t="s">
        <v>398</v>
      </c>
      <c r="F13" s="123"/>
      <c r="G13" s="35" t="s">
        <v>399</v>
      </c>
      <c r="H13" s="122" t="s">
        <v>410</v>
      </c>
      <c r="I13" s="123"/>
      <c r="J13" s="18"/>
    </row>
    <row r="14" spans="1:10" ht="15" customHeight="1">
      <c r="A14" s="36" t="s">
        <v>378</v>
      </c>
      <c r="B14" s="40" t="s">
        <v>390</v>
      </c>
      <c r="C14" s="44">
        <f>SUM('Stavební rozpočet'!AA12:AA117)</f>
        <v>0</v>
      </c>
      <c r="D14" s="124"/>
      <c r="E14" s="125"/>
      <c r="F14" s="44"/>
      <c r="G14" s="124"/>
      <c r="H14" s="125"/>
      <c r="I14" s="44"/>
      <c r="J14" s="18"/>
    </row>
    <row r="15" spans="1:10" ht="15" customHeight="1">
      <c r="A15" s="37"/>
      <c r="B15" s="40" t="s">
        <v>299</v>
      </c>
      <c r="C15" s="44">
        <f>SUM('Stavební rozpočet'!AB12:AB117)</f>
        <v>0</v>
      </c>
      <c r="D15" s="124"/>
      <c r="E15" s="125"/>
      <c r="F15" s="44"/>
      <c r="G15" s="124"/>
      <c r="H15" s="125"/>
      <c r="I15" s="44"/>
      <c r="J15" s="18"/>
    </row>
    <row r="16" spans="1:10" ht="15" customHeight="1">
      <c r="A16" s="36" t="s">
        <v>379</v>
      </c>
      <c r="B16" s="40" t="s">
        <v>390</v>
      </c>
      <c r="C16" s="44">
        <f>SUM('Stavební rozpočet'!AC12:AC117)</f>
        <v>0</v>
      </c>
      <c r="D16" s="124"/>
      <c r="E16" s="125"/>
      <c r="F16" s="44"/>
      <c r="G16" s="124"/>
      <c r="H16" s="125"/>
      <c r="I16" s="44"/>
      <c r="J16" s="18"/>
    </row>
    <row r="17" spans="1:10" ht="15" customHeight="1">
      <c r="A17" s="37"/>
      <c r="B17" s="40" t="s">
        <v>299</v>
      </c>
      <c r="C17" s="44">
        <f>SUM('Stavební rozpočet'!AD12:AD117)</f>
        <v>0</v>
      </c>
      <c r="D17" s="124"/>
      <c r="E17" s="125"/>
      <c r="F17" s="45"/>
      <c r="G17" s="124"/>
      <c r="H17" s="125"/>
      <c r="I17" s="44"/>
      <c r="J17" s="18"/>
    </row>
    <row r="18" spans="1:10" ht="15" customHeight="1">
      <c r="A18" s="36" t="s">
        <v>380</v>
      </c>
      <c r="B18" s="40" t="s">
        <v>390</v>
      </c>
      <c r="C18" s="44">
        <f>SUM('Stavební rozpočet'!AE12:AE117)</f>
        <v>0</v>
      </c>
      <c r="D18" s="124"/>
      <c r="E18" s="125"/>
      <c r="F18" s="45"/>
      <c r="G18" s="124"/>
      <c r="H18" s="125"/>
      <c r="I18" s="44"/>
      <c r="J18" s="18"/>
    </row>
    <row r="19" spans="1:10" ht="15" customHeight="1">
      <c r="A19" s="37"/>
      <c r="B19" s="40" t="s">
        <v>299</v>
      </c>
      <c r="C19" s="44">
        <f>SUM('Stavební rozpočet'!AF12:AF117)</f>
        <v>0</v>
      </c>
      <c r="D19" s="124"/>
      <c r="E19" s="125"/>
      <c r="F19" s="45"/>
      <c r="G19" s="124"/>
      <c r="H19" s="125"/>
      <c r="I19" s="44"/>
      <c r="J19" s="18"/>
    </row>
    <row r="20" spans="1:10" ht="15" customHeight="1">
      <c r="A20" s="126" t="s">
        <v>381</v>
      </c>
      <c r="B20" s="127"/>
      <c r="C20" s="44">
        <f>SUM('Stavební rozpočet'!AG12:AG117)</f>
        <v>0</v>
      </c>
      <c r="D20" s="124"/>
      <c r="E20" s="125"/>
      <c r="F20" s="45"/>
      <c r="G20" s="124"/>
      <c r="H20" s="125"/>
      <c r="I20" s="45"/>
      <c r="J20" s="18"/>
    </row>
    <row r="21" spans="1:10" ht="15" customHeight="1">
      <c r="A21" s="126" t="s">
        <v>382</v>
      </c>
      <c r="B21" s="127"/>
      <c r="C21" s="44">
        <f>SUM('Stavební rozpočet'!Y12:Y117)</f>
        <v>0</v>
      </c>
      <c r="D21" s="124"/>
      <c r="E21" s="125"/>
      <c r="F21" s="45"/>
      <c r="G21" s="124"/>
      <c r="H21" s="125"/>
      <c r="I21" s="45"/>
      <c r="J21" s="18"/>
    </row>
    <row r="22" spans="1:10" ht="16.5" customHeight="1">
      <c r="A22" s="126" t="s">
        <v>383</v>
      </c>
      <c r="B22" s="127"/>
      <c r="C22" s="44">
        <f>SUM(C14:C21)</f>
        <v>0</v>
      </c>
      <c r="D22" s="126" t="s">
        <v>393</v>
      </c>
      <c r="E22" s="127"/>
      <c r="F22" s="44">
        <f>SUM(F14:F21)</f>
        <v>0</v>
      </c>
      <c r="G22" s="126" t="s">
        <v>400</v>
      </c>
      <c r="H22" s="127"/>
      <c r="I22" s="44">
        <f>SUM(I14:I21)</f>
        <v>0</v>
      </c>
      <c r="J22" s="18"/>
    </row>
    <row r="23" spans="1:10" ht="15" customHeight="1">
      <c r="A23" s="5"/>
      <c r="B23" s="5"/>
      <c r="C23" s="42"/>
      <c r="D23" s="126" t="s">
        <v>394</v>
      </c>
      <c r="E23" s="127"/>
      <c r="F23" s="46">
        <v>0</v>
      </c>
      <c r="G23" s="126" t="s">
        <v>401</v>
      </c>
      <c r="H23" s="127"/>
      <c r="I23" s="44">
        <v>0</v>
      </c>
      <c r="J23" s="18"/>
    </row>
    <row r="24" spans="4:9" ht="15" customHeight="1">
      <c r="D24" s="5"/>
      <c r="E24" s="5"/>
      <c r="F24" s="47"/>
      <c r="G24" s="126" t="s">
        <v>402</v>
      </c>
      <c r="H24" s="127"/>
      <c r="I24" s="49"/>
    </row>
    <row r="25" spans="6:10" ht="15" customHeight="1">
      <c r="F25" s="48"/>
      <c r="G25" s="126" t="s">
        <v>403</v>
      </c>
      <c r="H25" s="127"/>
      <c r="I25" s="44">
        <v>0</v>
      </c>
      <c r="J25" s="18"/>
    </row>
    <row r="26" spans="1:9" ht="12.75">
      <c r="A26" s="34"/>
      <c r="B26" s="34"/>
      <c r="C26" s="34"/>
      <c r="G26" s="5"/>
      <c r="H26" s="5"/>
      <c r="I26" s="5"/>
    </row>
    <row r="27" spans="1:9" ht="15" customHeight="1">
      <c r="A27" s="128" t="s">
        <v>384</v>
      </c>
      <c r="B27" s="129"/>
      <c r="C27" s="50">
        <f>SUM('Stavební rozpočet'!AI12:AI117)</f>
        <v>0</v>
      </c>
      <c r="D27" s="43"/>
      <c r="E27" s="34"/>
      <c r="F27" s="34"/>
      <c r="G27" s="34"/>
      <c r="H27" s="34"/>
      <c r="I27" s="34"/>
    </row>
    <row r="28" spans="1:10" ht="15" customHeight="1">
      <c r="A28" s="128" t="s">
        <v>385</v>
      </c>
      <c r="B28" s="129"/>
      <c r="C28" s="50">
        <f>SUM('Stavební rozpočet'!AJ12:AJ117)+(F22+I22+F23+I23+I24+I25)</f>
        <v>0</v>
      </c>
      <c r="D28" s="128" t="s">
        <v>395</v>
      </c>
      <c r="E28" s="129"/>
      <c r="F28" s="50">
        <f>ROUND(C28*(15/100),2)</f>
        <v>0</v>
      </c>
      <c r="G28" s="128" t="s">
        <v>404</v>
      </c>
      <c r="H28" s="129"/>
      <c r="I28" s="50">
        <f>SUM(C27:C29)</f>
        <v>0</v>
      </c>
      <c r="J28" s="18"/>
    </row>
    <row r="29" spans="1:10" ht="15" customHeight="1">
      <c r="A29" s="128" t="s">
        <v>386</v>
      </c>
      <c r="B29" s="129"/>
      <c r="C29" s="50">
        <f>SUM('Stavební rozpočet'!AK12:AK117)</f>
        <v>0</v>
      </c>
      <c r="D29" s="128" t="s">
        <v>396</v>
      </c>
      <c r="E29" s="129"/>
      <c r="F29" s="50">
        <f>ROUND(C29*(21/100),2)</f>
        <v>0</v>
      </c>
      <c r="G29" s="128" t="s">
        <v>405</v>
      </c>
      <c r="H29" s="129"/>
      <c r="I29" s="50">
        <f>SUM(F28:F29)+I28</f>
        <v>0</v>
      </c>
      <c r="J29" s="18"/>
    </row>
    <row r="30" spans="1:9" ht="12.75">
      <c r="A30" s="38"/>
      <c r="B30" s="38"/>
      <c r="C30" s="38"/>
      <c r="D30" s="38"/>
      <c r="E30" s="38"/>
      <c r="F30" s="38"/>
      <c r="G30" s="38"/>
      <c r="H30" s="38"/>
      <c r="I30" s="38"/>
    </row>
    <row r="31" spans="1:10" ht="14.25" customHeight="1">
      <c r="A31" s="130" t="s">
        <v>387</v>
      </c>
      <c r="B31" s="131"/>
      <c r="C31" s="132"/>
      <c r="D31" s="130" t="s">
        <v>397</v>
      </c>
      <c r="E31" s="131"/>
      <c r="F31" s="132"/>
      <c r="G31" s="130" t="s">
        <v>406</v>
      </c>
      <c r="H31" s="131"/>
      <c r="I31" s="132"/>
      <c r="J31" s="19"/>
    </row>
    <row r="32" spans="1:10" ht="14.25" customHeight="1">
      <c r="A32" s="133"/>
      <c r="B32" s="134"/>
      <c r="C32" s="135"/>
      <c r="D32" s="133"/>
      <c r="E32" s="134"/>
      <c r="F32" s="135"/>
      <c r="G32" s="133"/>
      <c r="H32" s="134"/>
      <c r="I32" s="135"/>
      <c r="J32" s="19"/>
    </row>
    <row r="33" spans="1:10" ht="14.25" customHeight="1">
      <c r="A33" s="133"/>
      <c r="B33" s="134"/>
      <c r="C33" s="135"/>
      <c r="D33" s="133"/>
      <c r="E33" s="134"/>
      <c r="F33" s="135"/>
      <c r="G33" s="133"/>
      <c r="H33" s="134"/>
      <c r="I33" s="135"/>
      <c r="J33" s="19"/>
    </row>
    <row r="34" spans="1:10" ht="14.25" customHeight="1">
      <c r="A34" s="133"/>
      <c r="B34" s="134"/>
      <c r="C34" s="135"/>
      <c r="D34" s="133"/>
      <c r="E34" s="134"/>
      <c r="F34" s="135"/>
      <c r="G34" s="133"/>
      <c r="H34" s="134"/>
      <c r="I34" s="135"/>
      <c r="J34" s="19"/>
    </row>
    <row r="35" spans="1:10" ht="14.25" customHeight="1">
      <c r="A35" s="136" t="s">
        <v>388</v>
      </c>
      <c r="B35" s="137"/>
      <c r="C35" s="138"/>
      <c r="D35" s="136" t="s">
        <v>388</v>
      </c>
      <c r="E35" s="137"/>
      <c r="F35" s="138"/>
      <c r="G35" s="136" t="s">
        <v>388</v>
      </c>
      <c r="H35" s="137"/>
      <c r="I35" s="138"/>
      <c r="J35" s="19"/>
    </row>
    <row r="36" spans="1:9" ht="11.25" customHeight="1">
      <c r="A36" s="39" t="s">
        <v>83</v>
      </c>
      <c r="B36" s="41"/>
      <c r="C36" s="41"/>
      <c r="D36" s="41"/>
      <c r="E36" s="41"/>
      <c r="F36" s="41"/>
      <c r="G36" s="41"/>
      <c r="H36" s="41"/>
      <c r="I36" s="41"/>
    </row>
    <row r="37" spans="1:9" ht="12.75">
      <c r="A37" s="81"/>
      <c r="B37" s="73"/>
      <c r="C37" s="73"/>
      <c r="D37" s="73"/>
      <c r="E37" s="73"/>
      <c r="F37" s="73"/>
      <c r="G37" s="73"/>
      <c r="H37" s="73"/>
      <c r="I37" s="73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6" sqref="B6:C7"/>
    </sheetView>
  </sheetViews>
  <sheetFormatPr defaultColWidth="11.57421875" defaultRowHeight="12.75"/>
  <cols>
    <col min="1" max="1" width="14.8515625" style="0" customWidth="1"/>
    <col min="2" max="2" width="16.57421875" style="0" customWidth="1"/>
    <col min="3" max="3" width="44.140625" style="0" customWidth="1"/>
    <col min="4" max="4" width="17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68" t="s">
        <v>369</v>
      </c>
      <c r="B1" s="69"/>
      <c r="C1" s="69"/>
      <c r="D1" s="69"/>
      <c r="E1" s="69"/>
      <c r="F1" s="69"/>
      <c r="G1" s="69"/>
    </row>
    <row r="2" spans="1:8" ht="12.75">
      <c r="A2" s="70" t="s">
        <v>1</v>
      </c>
      <c r="B2" s="74" t="str">
        <f>'Stavební rozpočet'!C2</f>
        <v>TJ Sokol Brno - Obřany - Maloměřice - Oprava sprch a šaten ve sportovní hale</v>
      </c>
      <c r="C2" s="110"/>
      <c r="D2" s="77" t="s">
        <v>288</v>
      </c>
      <c r="E2" s="77" t="str">
        <f>'Stavební rozpočet'!I2</f>
        <v> </v>
      </c>
      <c r="F2" s="71"/>
      <c r="G2" s="78"/>
      <c r="H2" s="18"/>
    </row>
    <row r="3" spans="1:8" ht="12.75">
      <c r="A3" s="72"/>
      <c r="B3" s="75"/>
      <c r="C3" s="75"/>
      <c r="D3" s="73"/>
      <c r="E3" s="73"/>
      <c r="F3" s="73"/>
      <c r="G3" s="79"/>
      <c r="H3" s="18"/>
    </row>
    <row r="4" spans="1:8" ht="12.75">
      <c r="A4" s="80" t="s">
        <v>2</v>
      </c>
      <c r="B4" s="81" t="str">
        <f>'Stavební rozpočet'!C4</f>
        <v>Sportovní hala</v>
      </c>
      <c r="C4" s="73"/>
      <c r="D4" s="81" t="s">
        <v>289</v>
      </c>
      <c r="E4" s="81"/>
      <c r="F4" s="73"/>
      <c r="G4" s="79"/>
      <c r="H4" s="18"/>
    </row>
    <row r="5" spans="1:8" ht="12.75">
      <c r="A5" s="72"/>
      <c r="B5" s="73"/>
      <c r="C5" s="73"/>
      <c r="D5" s="73"/>
      <c r="E5" s="73"/>
      <c r="F5" s="73"/>
      <c r="G5" s="79"/>
      <c r="H5" s="18"/>
    </row>
    <row r="6" spans="1:8" ht="12.75">
      <c r="A6" s="80" t="s">
        <v>3</v>
      </c>
      <c r="B6" s="81" t="str">
        <f>'Stavební rozpočet'!C6</f>
        <v> </v>
      </c>
      <c r="C6" s="73"/>
      <c r="D6" s="81" t="s">
        <v>290</v>
      </c>
      <c r="E6" s="81" t="str">
        <f>'Stavební rozpočet'!I6</f>
        <v> </v>
      </c>
      <c r="F6" s="73"/>
      <c r="G6" s="79"/>
      <c r="H6" s="18"/>
    </row>
    <row r="7" spans="1:8" ht="12.75">
      <c r="A7" s="72"/>
      <c r="B7" s="73"/>
      <c r="C7" s="73"/>
      <c r="D7" s="73"/>
      <c r="E7" s="73"/>
      <c r="F7" s="73"/>
      <c r="G7" s="79"/>
      <c r="H7" s="18"/>
    </row>
    <row r="8" spans="1:8" ht="12.75">
      <c r="A8" s="80" t="s">
        <v>291</v>
      </c>
      <c r="B8" s="81" t="str">
        <f>'Stavební rozpočet'!I8</f>
        <v>Bc. Petr Hriš</v>
      </c>
      <c r="C8" s="73"/>
      <c r="D8" s="82" t="s">
        <v>274</v>
      </c>
      <c r="E8" s="81" t="str">
        <f>'Stavební rozpočet'!F8</f>
        <v>28.02.2024</v>
      </c>
      <c r="F8" s="73"/>
      <c r="G8" s="79"/>
      <c r="H8" s="18"/>
    </row>
    <row r="9" spans="1:8" ht="12.75">
      <c r="A9" s="83"/>
      <c r="B9" s="84"/>
      <c r="C9" s="84"/>
      <c r="D9" s="84"/>
      <c r="E9" s="84"/>
      <c r="F9" s="84"/>
      <c r="G9" s="85"/>
      <c r="H9" s="18"/>
    </row>
    <row r="10" spans="1:8" ht="12.75">
      <c r="A10" s="28" t="s">
        <v>370</v>
      </c>
      <c r="B10" s="30" t="s">
        <v>84</v>
      </c>
      <c r="C10" s="111" t="s">
        <v>167</v>
      </c>
      <c r="D10" s="112"/>
      <c r="E10" s="31" t="s">
        <v>371</v>
      </c>
      <c r="F10" s="31" t="s">
        <v>372</v>
      </c>
      <c r="G10" s="31" t="s">
        <v>373</v>
      </c>
      <c r="H10" s="18"/>
    </row>
    <row r="11" spans="1:9" ht="12.75">
      <c r="A11" s="139" t="s">
        <v>310</v>
      </c>
      <c r="B11" s="140"/>
      <c r="C11" s="141" t="s">
        <v>169</v>
      </c>
      <c r="D11" s="142"/>
      <c r="E11" s="143">
        <f>'Stavební rozpočet'!I12</f>
        <v>0</v>
      </c>
      <c r="F11" s="143">
        <f>'Stavební rozpočet'!J12</f>
        <v>0</v>
      </c>
      <c r="G11" s="143">
        <f>'Stavební rozpočet'!K12</f>
        <v>0</v>
      </c>
      <c r="H11" s="21" t="s">
        <v>374</v>
      </c>
      <c r="I11" s="21">
        <f aca="true" t="shared" si="0" ref="I11:I40">IF(H11="F",0,G11)</f>
        <v>0</v>
      </c>
    </row>
    <row r="12" spans="1:9" ht="12.75">
      <c r="A12" s="29" t="s">
        <v>310</v>
      </c>
      <c r="B12" s="11" t="s">
        <v>85</v>
      </c>
      <c r="C12" s="82" t="s">
        <v>170</v>
      </c>
      <c r="D12" s="73"/>
      <c r="E12" s="21">
        <f>'Stavební rozpočet'!I13</f>
        <v>0</v>
      </c>
      <c r="F12" s="21">
        <f>'Stavební rozpočet'!J13</f>
        <v>0</v>
      </c>
      <c r="G12" s="21">
        <f>'Stavební rozpočet'!K13</f>
        <v>0</v>
      </c>
      <c r="H12" s="21" t="s">
        <v>375</v>
      </c>
      <c r="I12" s="21">
        <f t="shared" si="0"/>
        <v>0</v>
      </c>
    </row>
    <row r="13" spans="1:9" ht="12.75">
      <c r="A13" s="144" t="s">
        <v>311</v>
      </c>
      <c r="B13" s="145"/>
      <c r="C13" s="146" t="s">
        <v>186</v>
      </c>
      <c r="D13" s="147"/>
      <c r="E13" s="148">
        <f>'Stavební rozpočet'!I29</f>
        <v>0</v>
      </c>
      <c r="F13" s="148">
        <f>'Stavební rozpočet'!J29</f>
        <v>0</v>
      </c>
      <c r="G13" s="148">
        <f>'Stavební rozpočet'!K29</f>
        <v>0</v>
      </c>
      <c r="H13" s="21" t="s">
        <v>374</v>
      </c>
      <c r="I13" s="21">
        <f t="shared" si="0"/>
        <v>0</v>
      </c>
    </row>
    <row r="14" spans="1:9" ht="12.75">
      <c r="A14" s="29" t="s">
        <v>311</v>
      </c>
      <c r="B14" s="11" t="s">
        <v>101</v>
      </c>
      <c r="C14" s="82" t="s">
        <v>187</v>
      </c>
      <c r="D14" s="73"/>
      <c r="E14" s="21">
        <f>'Stavební rozpočet'!I30</f>
        <v>0</v>
      </c>
      <c r="F14" s="21">
        <f>'Stavební rozpočet'!J30</f>
        <v>0</v>
      </c>
      <c r="G14" s="21">
        <f>'Stavební rozpočet'!K30</f>
        <v>0</v>
      </c>
      <c r="H14" s="21" t="s">
        <v>375</v>
      </c>
      <c r="I14" s="21">
        <f t="shared" si="0"/>
        <v>0</v>
      </c>
    </row>
    <row r="15" spans="1:9" ht="12.75">
      <c r="A15" s="29" t="s">
        <v>311</v>
      </c>
      <c r="B15" s="11" t="s">
        <v>103</v>
      </c>
      <c r="C15" s="82" t="s">
        <v>189</v>
      </c>
      <c r="D15" s="73"/>
      <c r="E15" s="21">
        <f>'Stavební rozpočet'!I32</f>
        <v>0</v>
      </c>
      <c r="F15" s="21">
        <f>'Stavební rozpočet'!J32</f>
        <v>0</v>
      </c>
      <c r="G15" s="21">
        <f>'Stavební rozpočet'!K32</f>
        <v>0</v>
      </c>
      <c r="H15" s="21" t="s">
        <v>375</v>
      </c>
      <c r="I15" s="21">
        <f t="shared" si="0"/>
        <v>0</v>
      </c>
    </row>
    <row r="16" spans="1:9" ht="12.75">
      <c r="A16" s="29" t="s">
        <v>311</v>
      </c>
      <c r="B16" s="11" t="s">
        <v>106</v>
      </c>
      <c r="C16" s="82" t="s">
        <v>192</v>
      </c>
      <c r="D16" s="73"/>
      <c r="E16" s="21">
        <f>'Stavební rozpočet'!I35</f>
        <v>0</v>
      </c>
      <c r="F16" s="21">
        <f>'Stavební rozpočet'!J35</f>
        <v>0</v>
      </c>
      <c r="G16" s="21">
        <f>'Stavební rozpočet'!K35</f>
        <v>0</v>
      </c>
      <c r="H16" s="21" t="s">
        <v>375</v>
      </c>
      <c r="I16" s="21">
        <f t="shared" si="0"/>
        <v>0</v>
      </c>
    </row>
    <row r="17" spans="1:9" ht="12.75">
      <c r="A17" s="144" t="s">
        <v>312</v>
      </c>
      <c r="B17" s="145"/>
      <c r="C17" s="146" t="s">
        <v>203</v>
      </c>
      <c r="D17" s="147"/>
      <c r="E17" s="148">
        <f>'Stavební rozpočet'!I46</f>
        <v>0</v>
      </c>
      <c r="F17" s="148">
        <f>'Stavební rozpočet'!J46</f>
        <v>0</v>
      </c>
      <c r="G17" s="148">
        <f>'Stavební rozpočet'!K46</f>
        <v>0</v>
      </c>
      <c r="H17" s="21" t="s">
        <v>374</v>
      </c>
      <c r="I17" s="21">
        <f t="shared" si="0"/>
        <v>0</v>
      </c>
    </row>
    <row r="18" spans="1:9" ht="12.75">
      <c r="A18" s="29" t="s">
        <v>312</v>
      </c>
      <c r="B18" s="11" t="s">
        <v>101</v>
      </c>
      <c r="C18" s="82" t="s">
        <v>187</v>
      </c>
      <c r="D18" s="73"/>
      <c r="E18" s="21">
        <f>'Stavební rozpočet'!I47</f>
        <v>0</v>
      </c>
      <c r="F18" s="21">
        <f>'Stavební rozpočet'!J47</f>
        <v>0</v>
      </c>
      <c r="G18" s="21">
        <f>'Stavební rozpočet'!K47</f>
        <v>0</v>
      </c>
      <c r="H18" s="21" t="s">
        <v>375</v>
      </c>
      <c r="I18" s="21">
        <f t="shared" si="0"/>
        <v>0</v>
      </c>
    </row>
    <row r="19" spans="1:9" ht="12.75">
      <c r="A19" s="29" t="s">
        <v>312</v>
      </c>
      <c r="B19" s="11" t="s">
        <v>85</v>
      </c>
      <c r="C19" s="82" t="s">
        <v>170</v>
      </c>
      <c r="D19" s="73"/>
      <c r="E19" s="21">
        <f>'Stavební rozpočet'!I49</f>
        <v>0</v>
      </c>
      <c r="F19" s="21">
        <f>'Stavební rozpočet'!J49</f>
        <v>0</v>
      </c>
      <c r="G19" s="21">
        <f>'Stavební rozpočet'!K49</f>
        <v>0</v>
      </c>
      <c r="H19" s="21" t="s">
        <v>375</v>
      </c>
      <c r="I19" s="21">
        <f t="shared" si="0"/>
        <v>0</v>
      </c>
    </row>
    <row r="20" spans="1:9" ht="12.75">
      <c r="A20" s="144" t="s">
        <v>313</v>
      </c>
      <c r="B20" s="145"/>
      <c r="C20" s="146" t="s">
        <v>209</v>
      </c>
      <c r="D20" s="147"/>
      <c r="E20" s="148">
        <f>'Stavební rozpočet'!I54</f>
        <v>0</v>
      </c>
      <c r="F20" s="148">
        <f>'Stavební rozpočet'!J54</f>
        <v>0</v>
      </c>
      <c r="G20" s="148">
        <f>'Stavební rozpočet'!K54</f>
        <v>0</v>
      </c>
      <c r="H20" s="21" t="s">
        <v>374</v>
      </c>
      <c r="I20" s="21">
        <f t="shared" si="0"/>
        <v>0</v>
      </c>
    </row>
    <row r="21" spans="1:9" ht="12.75">
      <c r="A21" s="29" t="s">
        <v>313</v>
      </c>
      <c r="B21" s="11" t="s">
        <v>40</v>
      </c>
      <c r="C21" s="82" t="s">
        <v>210</v>
      </c>
      <c r="D21" s="73"/>
      <c r="E21" s="21">
        <f>'Stavební rozpočet'!I55</f>
        <v>0</v>
      </c>
      <c r="F21" s="21">
        <f>'Stavební rozpočet'!J55</f>
        <v>0</v>
      </c>
      <c r="G21" s="21">
        <f>'Stavební rozpočet'!K55</f>
        <v>0</v>
      </c>
      <c r="H21" s="21" t="s">
        <v>375</v>
      </c>
      <c r="I21" s="21">
        <f t="shared" si="0"/>
        <v>0</v>
      </c>
    </row>
    <row r="22" spans="1:9" ht="12.75">
      <c r="A22" s="29" t="s">
        <v>313</v>
      </c>
      <c r="B22" s="11" t="s">
        <v>66</v>
      </c>
      <c r="C22" s="82" t="s">
        <v>212</v>
      </c>
      <c r="D22" s="73"/>
      <c r="E22" s="21">
        <f>'Stavební rozpočet'!I57</f>
        <v>0</v>
      </c>
      <c r="F22" s="21">
        <f>'Stavební rozpočet'!J57</f>
        <v>0</v>
      </c>
      <c r="G22" s="21">
        <f>'Stavební rozpočet'!K57</f>
        <v>0</v>
      </c>
      <c r="H22" s="21" t="s">
        <v>375</v>
      </c>
      <c r="I22" s="21">
        <f t="shared" si="0"/>
        <v>0</v>
      </c>
    </row>
    <row r="23" spans="1:9" ht="12.75">
      <c r="A23" s="29" t="s">
        <v>313</v>
      </c>
      <c r="B23" s="11" t="s">
        <v>67</v>
      </c>
      <c r="C23" s="82" t="s">
        <v>214</v>
      </c>
      <c r="D23" s="73"/>
      <c r="E23" s="21">
        <f>'Stavební rozpočet'!I59</f>
        <v>0</v>
      </c>
      <c r="F23" s="21">
        <f>'Stavební rozpočet'!J59</f>
        <v>0</v>
      </c>
      <c r="G23" s="21">
        <f>'Stavební rozpočet'!K59</f>
        <v>0</v>
      </c>
      <c r="H23" s="21" t="s">
        <v>375</v>
      </c>
      <c r="I23" s="21">
        <f t="shared" si="0"/>
        <v>0</v>
      </c>
    </row>
    <row r="24" spans="1:9" ht="12.75">
      <c r="A24" s="29" t="s">
        <v>313</v>
      </c>
      <c r="B24" s="11" t="s">
        <v>125</v>
      </c>
      <c r="C24" s="82" t="s">
        <v>216</v>
      </c>
      <c r="D24" s="73"/>
      <c r="E24" s="21">
        <f>'Stavební rozpočet'!I61</f>
        <v>0</v>
      </c>
      <c r="F24" s="21">
        <f>'Stavební rozpočet'!J61</f>
        <v>0</v>
      </c>
      <c r="G24" s="21">
        <f>'Stavební rozpočet'!K61</f>
        <v>0</v>
      </c>
      <c r="H24" s="21" t="s">
        <v>375</v>
      </c>
      <c r="I24" s="21">
        <f t="shared" si="0"/>
        <v>0</v>
      </c>
    </row>
    <row r="25" spans="1:9" ht="12.75">
      <c r="A25" s="144" t="s">
        <v>314</v>
      </c>
      <c r="B25" s="145"/>
      <c r="C25" s="146" t="s">
        <v>219</v>
      </c>
      <c r="D25" s="147"/>
      <c r="E25" s="148">
        <f>'Stavební rozpočet'!I64</f>
        <v>0</v>
      </c>
      <c r="F25" s="148">
        <f>'Stavební rozpočet'!J64</f>
        <v>0</v>
      </c>
      <c r="G25" s="148">
        <f>'Stavební rozpočet'!K64</f>
        <v>0</v>
      </c>
      <c r="H25" s="21" t="s">
        <v>374</v>
      </c>
      <c r="I25" s="21">
        <f t="shared" si="0"/>
        <v>0</v>
      </c>
    </row>
    <row r="26" spans="1:9" ht="12.75">
      <c r="A26" s="29" t="s">
        <v>314</v>
      </c>
      <c r="B26" s="11" t="s">
        <v>69</v>
      </c>
      <c r="C26" s="82" t="s">
        <v>220</v>
      </c>
      <c r="D26" s="73"/>
      <c r="E26" s="21">
        <f>'Stavební rozpočet'!I65</f>
        <v>0</v>
      </c>
      <c r="F26" s="21">
        <f>'Stavební rozpočet'!J65</f>
        <v>0</v>
      </c>
      <c r="G26" s="21">
        <f>'Stavební rozpočet'!K65</f>
        <v>0</v>
      </c>
      <c r="H26" s="21" t="s">
        <v>375</v>
      </c>
      <c r="I26" s="21">
        <f t="shared" si="0"/>
        <v>0</v>
      </c>
    </row>
    <row r="27" spans="1:9" ht="12.75">
      <c r="A27" s="144" t="s">
        <v>315</v>
      </c>
      <c r="B27" s="145"/>
      <c r="C27" s="146" t="s">
        <v>227</v>
      </c>
      <c r="D27" s="147"/>
      <c r="E27" s="148">
        <f>'Stavební rozpočet'!I72</f>
        <v>0</v>
      </c>
      <c r="F27" s="148">
        <f>'Stavební rozpočet'!J72</f>
        <v>0</v>
      </c>
      <c r="G27" s="148">
        <f>'Stavební rozpočet'!K72</f>
        <v>0</v>
      </c>
      <c r="H27" s="21" t="s">
        <v>374</v>
      </c>
      <c r="I27" s="21">
        <f t="shared" si="0"/>
        <v>0</v>
      </c>
    </row>
    <row r="28" spans="1:9" ht="12.75">
      <c r="A28" s="29" t="s">
        <v>315</v>
      </c>
      <c r="B28" s="11" t="s">
        <v>134</v>
      </c>
      <c r="C28" s="82" t="s">
        <v>228</v>
      </c>
      <c r="D28" s="73"/>
      <c r="E28" s="21">
        <f>'Stavební rozpočet'!I73</f>
        <v>0</v>
      </c>
      <c r="F28" s="21">
        <f>'Stavební rozpočet'!J73</f>
        <v>0</v>
      </c>
      <c r="G28" s="21">
        <f>'Stavební rozpočet'!K73</f>
        <v>0</v>
      </c>
      <c r="H28" s="21" t="s">
        <v>375</v>
      </c>
      <c r="I28" s="21">
        <f t="shared" si="0"/>
        <v>0</v>
      </c>
    </row>
    <row r="29" spans="1:9" ht="12.75">
      <c r="A29" s="144" t="s">
        <v>316</v>
      </c>
      <c r="B29" s="145"/>
      <c r="C29" s="146" t="s">
        <v>234</v>
      </c>
      <c r="D29" s="147"/>
      <c r="E29" s="148">
        <f>'Stavební rozpočet'!I79</f>
        <v>0</v>
      </c>
      <c r="F29" s="148">
        <f>'Stavební rozpočet'!J79</f>
        <v>0</v>
      </c>
      <c r="G29" s="148">
        <f>'Stavební rozpočet'!K79</f>
        <v>0</v>
      </c>
      <c r="H29" s="21" t="s">
        <v>374</v>
      </c>
      <c r="I29" s="21">
        <f t="shared" si="0"/>
        <v>0</v>
      </c>
    </row>
    <row r="30" spans="1:9" ht="12.75">
      <c r="A30" s="29" t="s">
        <v>316</v>
      </c>
      <c r="B30" s="11" t="s">
        <v>138</v>
      </c>
      <c r="C30" s="82" t="s">
        <v>235</v>
      </c>
      <c r="D30" s="73"/>
      <c r="E30" s="21">
        <f>'Stavební rozpočet'!I80</f>
        <v>0</v>
      </c>
      <c r="F30" s="21">
        <f>'Stavební rozpočet'!J80</f>
        <v>0</v>
      </c>
      <c r="G30" s="21">
        <f>'Stavební rozpočet'!K80</f>
        <v>0</v>
      </c>
      <c r="H30" s="21" t="s">
        <v>375</v>
      </c>
      <c r="I30" s="21">
        <f t="shared" si="0"/>
        <v>0</v>
      </c>
    </row>
    <row r="31" spans="1:9" ht="12.75">
      <c r="A31" s="29" t="s">
        <v>316</v>
      </c>
      <c r="B31" s="11" t="s">
        <v>143</v>
      </c>
      <c r="C31" s="82" t="s">
        <v>242</v>
      </c>
      <c r="D31" s="73"/>
      <c r="E31" s="21">
        <f>'Stavební rozpočet'!I87</f>
        <v>0</v>
      </c>
      <c r="F31" s="21">
        <f>'Stavební rozpočet'!J87</f>
        <v>0</v>
      </c>
      <c r="G31" s="21">
        <f>'Stavební rozpočet'!K87</f>
        <v>0</v>
      </c>
      <c r="H31" s="21" t="s">
        <v>375</v>
      </c>
      <c r="I31" s="21">
        <f t="shared" si="0"/>
        <v>0</v>
      </c>
    </row>
    <row r="32" spans="1:9" ht="12.75">
      <c r="A32" s="144" t="s">
        <v>317</v>
      </c>
      <c r="B32" s="145"/>
      <c r="C32" s="146" t="s">
        <v>252</v>
      </c>
      <c r="D32" s="147"/>
      <c r="E32" s="148">
        <f>'Stavební rozpočet'!I97</f>
        <v>0</v>
      </c>
      <c r="F32" s="148">
        <f>'Stavební rozpočet'!J97</f>
        <v>0</v>
      </c>
      <c r="G32" s="148">
        <f>'Stavební rozpočet'!K97</f>
        <v>0</v>
      </c>
      <c r="H32" s="21" t="s">
        <v>374</v>
      </c>
      <c r="I32" s="21">
        <f t="shared" si="0"/>
        <v>0</v>
      </c>
    </row>
    <row r="33" spans="1:9" ht="12.75">
      <c r="A33" s="29" t="s">
        <v>317</v>
      </c>
      <c r="B33" s="11" t="s">
        <v>40</v>
      </c>
      <c r="C33" s="82" t="s">
        <v>210</v>
      </c>
      <c r="D33" s="73"/>
      <c r="E33" s="21">
        <f>'Stavební rozpočet'!I98</f>
        <v>0</v>
      </c>
      <c r="F33" s="21">
        <f>'Stavební rozpočet'!J98</f>
        <v>0</v>
      </c>
      <c r="G33" s="21">
        <f>'Stavební rozpočet'!K98</f>
        <v>0</v>
      </c>
      <c r="H33" s="21" t="s">
        <v>375</v>
      </c>
      <c r="I33" s="21">
        <f t="shared" si="0"/>
        <v>0</v>
      </c>
    </row>
    <row r="34" spans="1:9" ht="12.75">
      <c r="A34" s="144" t="s">
        <v>318</v>
      </c>
      <c r="B34" s="145"/>
      <c r="C34" s="146" t="s">
        <v>255</v>
      </c>
      <c r="D34" s="147"/>
      <c r="E34" s="148">
        <f>'Stavební rozpočet'!I101</f>
        <v>0</v>
      </c>
      <c r="F34" s="148">
        <f>'Stavební rozpočet'!J101</f>
        <v>0</v>
      </c>
      <c r="G34" s="148">
        <f>'Stavební rozpočet'!K101</f>
        <v>0</v>
      </c>
      <c r="H34" s="21" t="s">
        <v>374</v>
      </c>
      <c r="I34" s="21">
        <f t="shared" si="0"/>
        <v>0</v>
      </c>
    </row>
    <row r="35" spans="1:9" ht="12.75">
      <c r="A35" s="29" t="s">
        <v>318</v>
      </c>
      <c r="B35" s="11" t="s">
        <v>153</v>
      </c>
      <c r="C35" s="82" t="s">
        <v>256</v>
      </c>
      <c r="D35" s="73"/>
      <c r="E35" s="21">
        <f>'Stavební rozpočet'!I102</f>
        <v>0</v>
      </c>
      <c r="F35" s="21">
        <f>'Stavební rozpočet'!J102</f>
        <v>0</v>
      </c>
      <c r="G35" s="21">
        <f>'Stavební rozpočet'!K102</f>
        <v>0</v>
      </c>
      <c r="H35" s="21" t="s">
        <v>375</v>
      </c>
      <c r="I35" s="21">
        <f t="shared" si="0"/>
        <v>0</v>
      </c>
    </row>
    <row r="36" spans="1:9" ht="12.75">
      <c r="A36" s="144" t="s">
        <v>319</v>
      </c>
      <c r="B36" s="145"/>
      <c r="C36" s="146" t="s">
        <v>261</v>
      </c>
      <c r="D36" s="147"/>
      <c r="E36" s="148">
        <f>'Stavební rozpočet'!I107</f>
        <v>0</v>
      </c>
      <c r="F36" s="148">
        <f>'Stavební rozpočet'!J107</f>
        <v>0</v>
      </c>
      <c r="G36" s="148">
        <f>'Stavební rozpočet'!K107</f>
        <v>0</v>
      </c>
      <c r="H36" s="21" t="s">
        <v>374</v>
      </c>
      <c r="I36" s="21">
        <f t="shared" si="0"/>
        <v>0</v>
      </c>
    </row>
    <row r="37" spans="1:9" ht="12.75">
      <c r="A37" s="29" t="s">
        <v>319</v>
      </c>
      <c r="B37" s="11" t="s">
        <v>125</v>
      </c>
      <c r="C37" s="82" t="s">
        <v>216</v>
      </c>
      <c r="D37" s="73"/>
      <c r="E37" s="21">
        <f>'Stavební rozpočet'!I108</f>
        <v>0</v>
      </c>
      <c r="F37" s="21">
        <f>'Stavební rozpočet'!J108</f>
        <v>0</v>
      </c>
      <c r="G37" s="21">
        <f>'Stavební rozpočet'!K108</f>
        <v>0</v>
      </c>
      <c r="H37" s="21" t="s">
        <v>375</v>
      </c>
      <c r="I37" s="21">
        <f t="shared" si="0"/>
        <v>0</v>
      </c>
    </row>
    <row r="38" spans="1:9" ht="12.75">
      <c r="A38" s="144" t="s">
        <v>320</v>
      </c>
      <c r="B38" s="145"/>
      <c r="C38" s="146" t="s">
        <v>264</v>
      </c>
      <c r="D38" s="147"/>
      <c r="E38" s="148">
        <f>'Stavební rozpočet'!I111</f>
        <v>0</v>
      </c>
      <c r="F38" s="148">
        <f>'Stavební rozpočet'!J111</f>
        <v>0</v>
      </c>
      <c r="G38" s="148">
        <f>'Stavební rozpočet'!K111</f>
        <v>0</v>
      </c>
      <c r="H38" s="21" t="s">
        <v>374</v>
      </c>
      <c r="I38" s="21">
        <f t="shared" si="0"/>
        <v>0</v>
      </c>
    </row>
    <row r="39" spans="1:9" ht="12.75">
      <c r="A39" s="29" t="s">
        <v>320</v>
      </c>
      <c r="B39" s="11" t="s">
        <v>159</v>
      </c>
      <c r="C39" s="82" t="s">
        <v>265</v>
      </c>
      <c r="D39" s="73"/>
      <c r="E39" s="21">
        <f>'Stavební rozpočet'!I112</f>
        <v>0</v>
      </c>
      <c r="F39" s="21">
        <f>'Stavební rozpočet'!J112</f>
        <v>0</v>
      </c>
      <c r="G39" s="21">
        <f>'Stavební rozpočet'!K112</f>
        <v>0</v>
      </c>
      <c r="H39" s="21" t="s">
        <v>375</v>
      </c>
      <c r="I39" s="21">
        <f t="shared" si="0"/>
        <v>0</v>
      </c>
    </row>
    <row r="40" spans="1:9" ht="12.75">
      <c r="A40" s="29" t="s">
        <v>320</v>
      </c>
      <c r="B40" s="11" t="s">
        <v>161</v>
      </c>
      <c r="C40" s="82" t="s">
        <v>267</v>
      </c>
      <c r="D40" s="73"/>
      <c r="E40" s="21">
        <f>'Stavební rozpočet'!I114</f>
        <v>0</v>
      </c>
      <c r="F40" s="21">
        <f>'Stavební rozpočet'!J114</f>
        <v>0</v>
      </c>
      <c r="G40" s="21">
        <f>'Stavební rozpočet'!K114</f>
        <v>0</v>
      </c>
      <c r="H40" s="21" t="s">
        <v>375</v>
      </c>
      <c r="I40" s="21">
        <f t="shared" si="0"/>
        <v>0</v>
      </c>
    </row>
    <row r="41" spans="6:7" ht="12.75">
      <c r="F41" s="32" t="s">
        <v>298</v>
      </c>
      <c r="G41" s="33">
        <f>SUM(I11:I40)</f>
        <v>0</v>
      </c>
    </row>
  </sheetData>
  <sheetProtection/>
  <mergeCells count="48">
    <mergeCell ref="C40:D40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20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:K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84.28125" style="0" customWidth="1"/>
    <col min="4" max="5" width="11.57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23" width="11.57421875" style="0" customWidth="1"/>
    <col min="24" max="63" width="12.140625" style="0" hidden="1" customWidth="1"/>
  </cols>
  <sheetData>
    <row r="1" spans="1:11" ht="72.7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 ht="12.75">
      <c r="A2" s="70" t="s">
        <v>1</v>
      </c>
      <c r="B2" s="71"/>
      <c r="C2" s="74" t="s">
        <v>165</v>
      </c>
      <c r="D2" s="76" t="s">
        <v>271</v>
      </c>
      <c r="E2" s="71"/>
      <c r="F2" s="76" t="s">
        <v>275</v>
      </c>
      <c r="G2" s="71"/>
      <c r="H2" s="77" t="s">
        <v>288</v>
      </c>
      <c r="I2" s="76" t="s">
        <v>294</v>
      </c>
      <c r="J2" s="71"/>
      <c r="K2" s="71"/>
      <c r="L2" s="18"/>
    </row>
    <row r="3" spans="1:12" ht="12.75">
      <c r="A3" s="72"/>
      <c r="B3" s="73"/>
      <c r="C3" s="75"/>
      <c r="D3" s="73"/>
      <c r="E3" s="73"/>
      <c r="F3" s="73"/>
      <c r="G3" s="73"/>
      <c r="H3" s="73"/>
      <c r="I3" s="73"/>
      <c r="J3" s="73"/>
      <c r="K3" s="73"/>
      <c r="L3" s="18"/>
    </row>
    <row r="4" spans="1:12" ht="12.75">
      <c r="A4" s="80" t="s">
        <v>2</v>
      </c>
      <c r="B4" s="73"/>
      <c r="C4" s="81" t="s">
        <v>166</v>
      </c>
      <c r="D4" s="82" t="s">
        <v>272</v>
      </c>
      <c r="E4" s="73"/>
      <c r="F4" s="82" t="s">
        <v>276</v>
      </c>
      <c r="G4" s="73"/>
      <c r="H4" s="81" t="s">
        <v>289</v>
      </c>
      <c r="I4" s="82"/>
      <c r="J4" s="73"/>
      <c r="K4" s="73"/>
      <c r="L4" s="18"/>
    </row>
    <row r="5" spans="1:12" ht="12.75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18"/>
    </row>
    <row r="6" spans="1:12" ht="12.75">
      <c r="A6" s="80" t="s">
        <v>3</v>
      </c>
      <c r="B6" s="73"/>
      <c r="C6" s="81" t="s">
        <v>6</v>
      </c>
      <c r="D6" s="82" t="s">
        <v>273</v>
      </c>
      <c r="E6" s="73"/>
      <c r="F6" s="82" t="s">
        <v>277</v>
      </c>
      <c r="G6" s="73"/>
      <c r="H6" s="81" t="s">
        <v>290</v>
      </c>
      <c r="I6" s="82" t="s">
        <v>294</v>
      </c>
      <c r="J6" s="73"/>
      <c r="K6" s="73"/>
      <c r="L6" s="18"/>
    </row>
    <row r="7" spans="1:12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18"/>
    </row>
    <row r="8" spans="1:12" ht="12.75">
      <c r="A8" s="80" t="s">
        <v>4</v>
      </c>
      <c r="B8" s="73"/>
      <c r="C8" s="81" t="s">
        <v>6</v>
      </c>
      <c r="D8" s="82" t="s">
        <v>274</v>
      </c>
      <c r="E8" s="73"/>
      <c r="F8" s="82" t="s">
        <v>278</v>
      </c>
      <c r="G8" s="73"/>
      <c r="H8" s="81" t="s">
        <v>291</v>
      </c>
      <c r="I8" s="81" t="s">
        <v>295</v>
      </c>
      <c r="J8" s="73"/>
      <c r="K8" s="73"/>
      <c r="L8" s="18"/>
    </row>
    <row r="9" spans="1:12" ht="12.75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18"/>
    </row>
    <row r="10" spans="1:63" ht="12.75">
      <c r="A10" s="1" t="s">
        <v>5</v>
      </c>
      <c r="B10" s="7" t="s">
        <v>84</v>
      </c>
      <c r="C10" s="86" t="s">
        <v>167</v>
      </c>
      <c r="D10" s="87"/>
      <c r="E10" s="88"/>
      <c r="F10" s="7" t="s">
        <v>279</v>
      </c>
      <c r="G10" s="13" t="s">
        <v>287</v>
      </c>
      <c r="H10" s="17" t="s">
        <v>292</v>
      </c>
      <c r="I10" s="89" t="s">
        <v>296</v>
      </c>
      <c r="J10" s="90"/>
      <c r="K10" s="91"/>
      <c r="L10" s="19"/>
      <c r="BJ10" s="20" t="s">
        <v>366</v>
      </c>
      <c r="BK10" s="25" t="s">
        <v>368</v>
      </c>
    </row>
    <row r="11" spans="1:61" ht="12.75">
      <c r="A11" s="52" t="s">
        <v>6</v>
      </c>
      <c r="B11" s="53" t="s">
        <v>6</v>
      </c>
      <c r="C11" s="92" t="s">
        <v>168</v>
      </c>
      <c r="D11" s="93"/>
      <c r="E11" s="94"/>
      <c r="F11" s="53" t="s">
        <v>6</v>
      </c>
      <c r="G11" s="53" t="s">
        <v>6</v>
      </c>
      <c r="H11" s="56" t="s">
        <v>293</v>
      </c>
      <c r="I11" s="57" t="s">
        <v>297</v>
      </c>
      <c r="J11" s="58" t="s">
        <v>299</v>
      </c>
      <c r="K11" s="60" t="s">
        <v>300</v>
      </c>
      <c r="L11" s="19"/>
      <c r="Y11" s="20" t="s">
        <v>301</v>
      </c>
      <c r="Z11" s="20" t="s">
        <v>302</v>
      </c>
      <c r="AA11" s="20" t="s">
        <v>303</v>
      </c>
      <c r="AB11" s="20" t="s">
        <v>304</v>
      </c>
      <c r="AC11" s="20" t="s">
        <v>305</v>
      </c>
      <c r="AD11" s="20" t="s">
        <v>306</v>
      </c>
      <c r="AE11" s="20" t="s">
        <v>307</v>
      </c>
      <c r="AF11" s="20" t="s">
        <v>308</v>
      </c>
      <c r="AG11" s="20" t="s">
        <v>309</v>
      </c>
      <c r="BG11" s="20" t="s">
        <v>363</v>
      </c>
      <c r="BH11" s="20" t="s">
        <v>364</v>
      </c>
      <c r="BI11" s="20" t="s">
        <v>365</v>
      </c>
    </row>
    <row r="12" spans="1:12" ht="12.75">
      <c r="A12" s="54"/>
      <c r="B12" s="55"/>
      <c r="C12" s="95" t="s">
        <v>169</v>
      </c>
      <c r="D12" s="96"/>
      <c r="E12" s="97"/>
      <c r="F12" s="54" t="s">
        <v>6</v>
      </c>
      <c r="G12" s="54" t="s">
        <v>6</v>
      </c>
      <c r="H12" s="54" t="s">
        <v>6</v>
      </c>
      <c r="I12" s="59">
        <f>I13</f>
        <v>0</v>
      </c>
      <c r="J12" s="59">
        <f>J13</f>
        <v>0</v>
      </c>
      <c r="K12" s="59">
        <f>K13</f>
        <v>0</v>
      </c>
      <c r="L12" s="61"/>
    </row>
    <row r="13" spans="1:46" ht="12.75">
      <c r="A13" s="2"/>
      <c r="B13" s="8" t="s">
        <v>85</v>
      </c>
      <c r="C13" s="98" t="s">
        <v>170</v>
      </c>
      <c r="D13" s="99"/>
      <c r="E13" s="99"/>
      <c r="F13" s="12" t="s">
        <v>6</v>
      </c>
      <c r="G13" s="12" t="s">
        <v>6</v>
      </c>
      <c r="H13" s="12" t="s">
        <v>6</v>
      </c>
      <c r="I13" s="26">
        <f>SUM(I14:I28)</f>
        <v>0</v>
      </c>
      <c r="J13" s="26">
        <f>SUM(J14:J28)</f>
        <v>0</v>
      </c>
      <c r="K13" s="26">
        <f>SUM(K14:K28)</f>
        <v>0</v>
      </c>
      <c r="L13" s="18"/>
      <c r="AH13" s="20" t="s">
        <v>310</v>
      </c>
      <c r="AR13" s="26">
        <f>SUM(AI14:AI28)</f>
        <v>0</v>
      </c>
      <c r="AS13" s="26">
        <f>SUM(AJ14:AJ28)</f>
        <v>0</v>
      </c>
      <c r="AT13" s="26">
        <f>SUM(AK14:AK28)</f>
        <v>0</v>
      </c>
    </row>
    <row r="14" spans="1:63" ht="12.75">
      <c r="A14" s="3" t="s">
        <v>7</v>
      </c>
      <c r="B14" s="9" t="s">
        <v>86</v>
      </c>
      <c r="C14" s="100" t="s">
        <v>171</v>
      </c>
      <c r="D14" s="101"/>
      <c r="E14" s="101"/>
      <c r="F14" s="9" t="s">
        <v>280</v>
      </c>
      <c r="G14" s="14">
        <v>6</v>
      </c>
      <c r="H14" s="14">
        <v>0</v>
      </c>
      <c r="I14" s="14">
        <f>G14*AN14</f>
        <v>0</v>
      </c>
      <c r="J14" s="14">
        <f>G14*AO14</f>
        <v>0</v>
      </c>
      <c r="K14" s="14">
        <f aca="true" t="shared" si="0" ref="K14:K28">G14*H14</f>
        <v>0</v>
      </c>
      <c r="L14" s="18"/>
      <c r="Y14" s="21">
        <f aca="true" t="shared" si="1" ref="Y14:Y28">IF(AP14="5",BI14,0)</f>
        <v>0</v>
      </c>
      <c r="AA14" s="21">
        <f aca="true" t="shared" si="2" ref="AA14:AA28">IF(AP14="1",BG14,0)</f>
        <v>0</v>
      </c>
      <c r="AB14" s="21">
        <f aca="true" t="shared" si="3" ref="AB14:AB28">IF(AP14="1",BH14,0)</f>
        <v>0</v>
      </c>
      <c r="AC14" s="21">
        <f aca="true" t="shared" si="4" ref="AC14:AC28">IF(AP14="7",BG14,0)</f>
        <v>0</v>
      </c>
      <c r="AD14" s="21">
        <f aca="true" t="shared" si="5" ref="AD14:AD28">IF(AP14="7",BH14,0)</f>
        <v>0</v>
      </c>
      <c r="AE14" s="21">
        <f aca="true" t="shared" si="6" ref="AE14:AE28">IF(AP14="2",BG14,0)</f>
        <v>0</v>
      </c>
      <c r="AF14" s="21">
        <f aca="true" t="shared" si="7" ref="AF14:AF28">IF(AP14="2",BH14,0)</f>
        <v>0</v>
      </c>
      <c r="AG14" s="21">
        <f aca="true" t="shared" si="8" ref="AG14:AG28">IF(AP14="0",BI14,0)</f>
        <v>0</v>
      </c>
      <c r="AH14" s="20" t="s">
        <v>310</v>
      </c>
      <c r="AI14" s="14">
        <f>IF(AM14=0,K14,0)</f>
        <v>0</v>
      </c>
      <c r="AJ14" s="14">
        <f>IF(AM14=15,K14,0)</f>
        <v>0</v>
      </c>
      <c r="AK14" s="14">
        <f>IF(AM14=21,K14,0)</f>
        <v>0</v>
      </c>
      <c r="AM14" s="21">
        <v>15</v>
      </c>
      <c r="AN14" s="21">
        <f>H14*0</f>
        <v>0</v>
      </c>
      <c r="AO14" s="21">
        <f>H14*(1-0)</f>
        <v>0</v>
      </c>
      <c r="AP14" s="22" t="s">
        <v>13</v>
      </c>
      <c r="AU14" s="21">
        <f aca="true" t="shared" si="9" ref="AU14:AU28">AV14+AW14</f>
        <v>0</v>
      </c>
      <c r="AV14" s="21">
        <f>G14*AN14</f>
        <v>0</v>
      </c>
      <c r="AW14" s="21">
        <f>G14*AO14</f>
        <v>0</v>
      </c>
      <c r="AX14" s="24" t="s">
        <v>321</v>
      </c>
      <c r="AY14" s="24" t="s">
        <v>336</v>
      </c>
      <c r="AZ14" s="20" t="s">
        <v>352</v>
      </c>
      <c r="BB14" s="21">
        <f aca="true" t="shared" si="10" ref="BB14:BB28">AV14+AW14</f>
        <v>0</v>
      </c>
      <c r="BC14" s="21">
        <f>H14/(100-BD14)*100</f>
        <v>0</v>
      </c>
      <c r="BD14" s="21">
        <v>0</v>
      </c>
      <c r="BE14" s="21">
        <f>14</f>
        <v>14</v>
      </c>
      <c r="BG14" s="14">
        <f>G14*AN14</f>
        <v>0</v>
      </c>
      <c r="BH14" s="14">
        <f>G14*AO14</f>
        <v>0</v>
      </c>
      <c r="BI14" s="14">
        <f aca="true" t="shared" si="11" ref="BI14:BI28">G14*H14</f>
        <v>0</v>
      </c>
      <c r="BJ14" s="14" t="s">
        <v>159</v>
      </c>
      <c r="BK14" s="21">
        <v>725</v>
      </c>
    </row>
    <row r="15" spans="1:63" ht="12.75">
      <c r="A15" s="3" t="s">
        <v>8</v>
      </c>
      <c r="B15" s="9" t="s">
        <v>87</v>
      </c>
      <c r="C15" s="100" t="s">
        <v>172</v>
      </c>
      <c r="D15" s="101"/>
      <c r="E15" s="101"/>
      <c r="F15" s="9" t="s">
        <v>281</v>
      </c>
      <c r="G15" s="14">
        <v>6</v>
      </c>
      <c r="H15" s="14">
        <v>0</v>
      </c>
      <c r="I15" s="14">
        <f>G15*AN15</f>
        <v>0</v>
      </c>
      <c r="J15" s="14">
        <f>G15*AO15</f>
        <v>0</v>
      </c>
      <c r="K15" s="14">
        <f t="shared" si="0"/>
        <v>0</v>
      </c>
      <c r="L15" s="18"/>
      <c r="Y15" s="21">
        <f t="shared" si="1"/>
        <v>0</v>
      </c>
      <c r="AA15" s="21">
        <f t="shared" si="2"/>
        <v>0</v>
      </c>
      <c r="AB15" s="21">
        <f t="shared" si="3"/>
        <v>0</v>
      </c>
      <c r="AC15" s="21">
        <f t="shared" si="4"/>
        <v>0</v>
      </c>
      <c r="AD15" s="21">
        <f t="shared" si="5"/>
        <v>0</v>
      </c>
      <c r="AE15" s="21">
        <f t="shared" si="6"/>
        <v>0</v>
      </c>
      <c r="AF15" s="21">
        <f t="shared" si="7"/>
        <v>0</v>
      </c>
      <c r="AG15" s="21">
        <f t="shared" si="8"/>
        <v>0</v>
      </c>
      <c r="AH15" s="20" t="s">
        <v>310</v>
      </c>
      <c r="AI15" s="14">
        <f>IF(AM15=0,K15,0)</f>
        <v>0</v>
      </c>
      <c r="AJ15" s="14">
        <f>IF(AM15=15,K15,0)</f>
        <v>0</v>
      </c>
      <c r="AK15" s="14">
        <f>IF(AM15=21,K15,0)</f>
        <v>0</v>
      </c>
      <c r="AM15" s="21">
        <v>15</v>
      </c>
      <c r="AN15" s="21">
        <f>H15*0.457479229191532</f>
        <v>0</v>
      </c>
      <c r="AO15" s="21">
        <f>H15*(1-0.457479229191532)</f>
        <v>0</v>
      </c>
      <c r="AP15" s="22" t="s">
        <v>13</v>
      </c>
      <c r="AU15" s="21">
        <f t="shared" si="9"/>
        <v>0</v>
      </c>
      <c r="AV15" s="21">
        <f>G15*AN15</f>
        <v>0</v>
      </c>
      <c r="AW15" s="21">
        <f>G15*AO15</f>
        <v>0</v>
      </c>
      <c r="AX15" s="24" t="s">
        <v>321</v>
      </c>
      <c r="AY15" s="24" t="s">
        <v>336</v>
      </c>
      <c r="AZ15" s="20" t="s">
        <v>352</v>
      </c>
      <c r="BB15" s="21">
        <f t="shared" si="10"/>
        <v>0</v>
      </c>
      <c r="BC15" s="21">
        <f>H15/(100-BD15)*100</f>
        <v>0</v>
      </c>
      <c r="BD15" s="21">
        <v>0</v>
      </c>
      <c r="BE15" s="21">
        <f>15</f>
        <v>15</v>
      </c>
      <c r="BG15" s="14">
        <f>G15*AN15</f>
        <v>0</v>
      </c>
      <c r="BH15" s="14">
        <f>G15*AO15</f>
        <v>0</v>
      </c>
      <c r="BI15" s="14">
        <f t="shared" si="11"/>
        <v>0</v>
      </c>
      <c r="BJ15" s="14" t="s">
        <v>159</v>
      </c>
      <c r="BK15" s="21">
        <v>725</v>
      </c>
    </row>
    <row r="16" spans="1:63" ht="12.75">
      <c r="A16" s="3" t="s">
        <v>9</v>
      </c>
      <c r="B16" s="9" t="s">
        <v>88</v>
      </c>
      <c r="C16" s="100" t="s">
        <v>173</v>
      </c>
      <c r="D16" s="101"/>
      <c r="E16" s="101"/>
      <c r="F16" s="9" t="s">
        <v>280</v>
      </c>
      <c r="G16" s="14">
        <v>6</v>
      </c>
      <c r="H16" s="14">
        <v>0</v>
      </c>
      <c r="I16" s="14">
        <f>G16*AN16</f>
        <v>0</v>
      </c>
      <c r="J16" s="14">
        <f>G16*AO16</f>
        <v>0</v>
      </c>
      <c r="K16" s="14">
        <f t="shared" si="0"/>
        <v>0</v>
      </c>
      <c r="L16" s="18"/>
      <c r="Y16" s="21">
        <f t="shared" si="1"/>
        <v>0</v>
      </c>
      <c r="AA16" s="21">
        <f t="shared" si="2"/>
        <v>0</v>
      </c>
      <c r="AB16" s="21">
        <f t="shared" si="3"/>
        <v>0</v>
      </c>
      <c r="AC16" s="21">
        <f t="shared" si="4"/>
        <v>0</v>
      </c>
      <c r="AD16" s="21">
        <f t="shared" si="5"/>
        <v>0</v>
      </c>
      <c r="AE16" s="21">
        <f t="shared" si="6"/>
        <v>0</v>
      </c>
      <c r="AF16" s="21">
        <f t="shared" si="7"/>
        <v>0</v>
      </c>
      <c r="AG16" s="21">
        <f t="shared" si="8"/>
        <v>0</v>
      </c>
      <c r="AH16" s="20" t="s">
        <v>310</v>
      </c>
      <c r="AI16" s="14">
        <f>IF(AM16=0,K16,0)</f>
        <v>0</v>
      </c>
      <c r="AJ16" s="14">
        <f>IF(AM16=15,K16,0)</f>
        <v>0</v>
      </c>
      <c r="AK16" s="14">
        <f>IF(AM16=21,K16,0)</f>
        <v>0</v>
      </c>
      <c r="AM16" s="21">
        <v>15</v>
      </c>
      <c r="AN16" s="21">
        <f>H16*0</f>
        <v>0</v>
      </c>
      <c r="AO16" s="21">
        <f>H16*(1-0)</f>
        <v>0</v>
      </c>
      <c r="AP16" s="22" t="s">
        <v>13</v>
      </c>
      <c r="AU16" s="21">
        <f t="shared" si="9"/>
        <v>0</v>
      </c>
      <c r="AV16" s="21">
        <f>G16*AN16</f>
        <v>0</v>
      </c>
      <c r="AW16" s="21">
        <f>G16*AO16</f>
        <v>0</v>
      </c>
      <c r="AX16" s="24" t="s">
        <v>321</v>
      </c>
      <c r="AY16" s="24" t="s">
        <v>336</v>
      </c>
      <c r="AZ16" s="20" t="s">
        <v>352</v>
      </c>
      <c r="BB16" s="21">
        <f t="shared" si="10"/>
        <v>0</v>
      </c>
      <c r="BC16" s="21">
        <f>H16/(100-BD16)*100</f>
        <v>0</v>
      </c>
      <c r="BD16" s="21">
        <v>0</v>
      </c>
      <c r="BE16" s="21">
        <f>16</f>
        <v>16</v>
      </c>
      <c r="BG16" s="14">
        <f>G16*AN16</f>
        <v>0</v>
      </c>
      <c r="BH16" s="14">
        <f>G16*AO16</f>
        <v>0</v>
      </c>
      <c r="BI16" s="14">
        <f t="shared" si="11"/>
        <v>0</v>
      </c>
      <c r="BJ16" s="14" t="s">
        <v>159</v>
      </c>
      <c r="BK16" s="21">
        <v>725</v>
      </c>
    </row>
    <row r="17" spans="1:63" ht="12.75">
      <c r="A17" s="3" t="s">
        <v>10</v>
      </c>
      <c r="B17" s="9" t="s">
        <v>89</v>
      </c>
      <c r="C17" s="100" t="s">
        <v>174</v>
      </c>
      <c r="D17" s="101"/>
      <c r="E17" s="101"/>
      <c r="F17" s="9" t="s">
        <v>281</v>
      </c>
      <c r="G17" s="14">
        <v>6</v>
      </c>
      <c r="H17" s="14">
        <v>0</v>
      </c>
      <c r="I17" s="14">
        <f>G17*AN17</f>
        <v>0</v>
      </c>
      <c r="J17" s="14">
        <f>G17*AO17</f>
        <v>0</v>
      </c>
      <c r="K17" s="14">
        <f t="shared" si="0"/>
        <v>0</v>
      </c>
      <c r="L17" s="18"/>
      <c r="Y17" s="21">
        <f t="shared" si="1"/>
        <v>0</v>
      </c>
      <c r="AA17" s="21">
        <f t="shared" si="2"/>
        <v>0</v>
      </c>
      <c r="AB17" s="21">
        <f t="shared" si="3"/>
        <v>0</v>
      </c>
      <c r="AC17" s="21">
        <f t="shared" si="4"/>
        <v>0</v>
      </c>
      <c r="AD17" s="21">
        <f t="shared" si="5"/>
        <v>0</v>
      </c>
      <c r="AE17" s="21">
        <f t="shared" si="6"/>
        <v>0</v>
      </c>
      <c r="AF17" s="21">
        <f t="shared" si="7"/>
        <v>0</v>
      </c>
      <c r="AG17" s="21">
        <f t="shared" si="8"/>
        <v>0</v>
      </c>
      <c r="AH17" s="20" t="s">
        <v>310</v>
      </c>
      <c r="AI17" s="14">
        <f>IF(AM17=0,K17,0)</f>
        <v>0</v>
      </c>
      <c r="AJ17" s="14">
        <f>IF(AM17=15,K17,0)</f>
        <v>0</v>
      </c>
      <c r="AK17" s="14">
        <f>IF(AM17=21,K17,0)</f>
        <v>0</v>
      </c>
      <c r="AM17" s="21">
        <v>15</v>
      </c>
      <c r="AN17" s="21">
        <f>H17*0.179009304078143</f>
        <v>0</v>
      </c>
      <c r="AO17" s="21">
        <f>H17*(1-0.179009304078143)</f>
        <v>0</v>
      </c>
      <c r="AP17" s="22" t="s">
        <v>13</v>
      </c>
      <c r="AU17" s="21">
        <f t="shared" si="9"/>
        <v>0</v>
      </c>
      <c r="AV17" s="21">
        <f>G17*AN17</f>
        <v>0</v>
      </c>
      <c r="AW17" s="21">
        <f>G17*AO17</f>
        <v>0</v>
      </c>
      <c r="AX17" s="24" t="s">
        <v>321</v>
      </c>
      <c r="AY17" s="24" t="s">
        <v>336</v>
      </c>
      <c r="AZ17" s="20" t="s">
        <v>352</v>
      </c>
      <c r="BB17" s="21">
        <f t="shared" si="10"/>
        <v>0</v>
      </c>
      <c r="BC17" s="21">
        <f>H17/(100-BD17)*100</f>
        <v>0</v>
      </c>
      <c r="BD17" s="21">
        <v>0</v>
      </c>
      <c r="BE17" s="21">
        <f>17</f>
        <v>17</v>
      </c>
      <c r="BG17" s="14">
        <f>G17*AN17</f>
        <v>0</v>
      </c>
      <c r="BH17" s="14">
        <f>G17*AO17</f>
        <v>0</v>
      </c>
      <c r="BI17" s="14">
        <f t="shared" si="11"/>
        <v>0</v>
      </c>
      <c r="BJ17" s="14" t="s">
        <v>159</v>
      </c>
      <c r="BK17" s="21">
        <v>725</v>
      </c>
    </row>
    <row r="18" spans="1:63" ht="12.75">
      <c r="A18" s="3" t="s">
        <v>11</v>
      </c>
      <c r="B18" s="9" t="s">
        <v>90</v>
      </c>
      <c r="C18" s="100" t="s">
        <v>175</v>
      </c>
      <c r="D18" s="101"/>
      <c r="E18" s="101"/>
      <c r="F18" s="9" t="s">
        <v>280</v>
      </c>
      <c r="G18" s="14">
        <v>6</v>
      </c>
      <c r="H18" s="14">
        <v>0</v>
      </c>
      <c r="I18" s="14">
        <f>G18*AN18</f>
        <v>0</v>
      </c>
      <c r="J18" s="14">
        <f>G18*AO18</f>
        <v>0</v>
      </c>
      <c r="K18" s="14">
        <f t="shared" si="0"/>
        <v>0</v>
      </c>
      <c r="L18" s="18"/>
      <c r="Y18" s="21">
        <f t="shared" si="1"/>
        <v>0</v>
      </c>
      <c r="AA18" s="21">
        <f t="shared" si="2"/>
        <v>0</v>
      </c>
      <c r="AB18" s="21">
        <f t="shared" si="3"/>
        <v>0</v>
      </c>
      <c r="AC18" s="21">
        <f t="shared" si="4"/>
        <v>0</v>
      </c>
      <c r="AD18" s="21">
        <f t="shared" si="5"/>
        <v>0</v>
      </c>
      <c r="AE18" s="21">
        <f t="shared" si="6"/>
        <v>0</v>
      </c>
      <c r="AF18" s="21">
        <f t="shared" si="7"/>
        <v>0</v>
      </c>
      <c r="AG18" s="21">
        <f t="shared" si="8"/>
        <v>0</v>
      </c>
      <c r="AH18" s="20" t="s">
        <v>310</v>
      </c>
      <c r="AI18" s="14">
        <f>IF(AM18=0,K18,0)</f>
        <v>0</v>
      </c>
      <c r="AJ18" s="14">
        <f>IF(AM18=15,K18,0)</f>
        <v>0</v>
      </c>
      <c r="AK18" s="14">
        <f>IF(AM18=21,K18,0)</f>
        <v>0</v>
      </c>
      <c r="AM18" s="21">
        <v>15</v>
      </c>
      <c r="AN18" s="21">
        <f>H18*0</f>
        <v>0</v>
      </c>
      <c r="AO18" s="21">
        <f>H18*(1-0)</f>
        <v>0</v>
      </c>
      <c r="AP18" s="22" t="s">
        <v>13</v>
      </c>
      <c r="AU18" s="21">
        <f t="shared" si="9"/>
        <v>0</v>
      </c>
      <c r="AV18" s="21">
        <f>G18*AN18</f>
        <v>0</v>
      </c>
      <c r="AW18" s="21">
        <f>G18*AO18</f>
        <v>0</v>
      </c>
      <c r="AX18" s="24" t="s">
        <v>321</v>
      </c>
      <c r="AY18" s="24" t="s">
        <v>336</v>
      </c>
      <c r="AZ18" s="20" t="s">
        <v>352</v>
      </c>
      <c r="BB18" s="21">
        <f t="shared" si="10"/>
        <v>0</v>
      </c>
      <c r="BC18" s="21">
        <f>H18/(100-BD18)*100</f>
        <v>0</v>
      </c>
      <c r="BD18" s="21">
        <v>0</v>
      </c>
      <c r="BE18" s="21">
        <f>18</f>
        <v>18</v>
      </c>
      <c r="BG18" s="14">
        <f>G18*AN18</f>
        <v>0</v>
      </c>
      <c r="BH18" s="14">
        <f>G18*AO18</f>
        <v>0</v>
      </c>
      <c r="BI18" s="14">
        <f t="shared" si="11"/>
        <v>0</v>
      </c>
      <c r="BJ18" s="14" t="s">
        <v>159</v>
      </c>
      <c r="BK18" s="21">
        <v>725</v>
      </c>
    </row>
    <row r="19" spans="1:63" ht="12.75">
      <c r="A19" s="3" t="s">
        <v>12</v>
      </c>
      <c r="B19" s="9" t="s">
        <v>91</v>
      </c>
      <c r="C19" s="100" t="s">
        <v>176</v>
      </c>
      <c r="D19" s="101"/>
      <c r="E19" s="101"/>
      <c r="F19" s="9" t="s">
        <v>281</v>
      </c>
      <c r="G19" s="14">
        <v>6</v>
      </c>
      <c r="H19" s="14">
        <v>0</v>
      </c>
      <c r="I19" s="14">
        <f>G19*AN19</f>
        <v>0</v>
      </c>
      <c r="J19" s="14">
        <f>G19*AO19</f>
        <v>0</v>
      </c>
      <c r="K19" s="14">
        <f t="shared" si="0"/>
        <v>0</v>
      </c>
      <c r="L19" s="18"/>
      <c r="Y19" s="21">
        <f t="shared" si="1"/>
        <v>0</v>
      </c>
      <c r="AA19" s="21">
        <f t="shared" si="2"/>
        <v>0</v>
      </c>
      <c r="AB19" s="21">
        <f t="shared" si="3"/>
        <v>0</v>
      </c>
      <c r="AC19" s="21">
        <f t="shared" si="4"/>
        <v>0</v>
      </c>
      <c r="AD19" s="21">
        <f t="shared" si="5"/>
        <v>0</v>
      </c>
      <c r="AE19" s="21">
        <f t="shared" si="6"/>
        <v>0</v>
      </c>
      <c r="AF19" s="21">
        <f t="shared" si="7"/>
        <v>0</v>
      </c>
      <c r="AG19" s="21">
        <f t="shared" si="8"/>
        <v>0</v>
      </c>
      <c r="AH19" s="20" t="s">
        <v>310</v>
      </c>
      <c r="AI19" s="14">
        <f>IF(AM19=0,K19,0)</f>
        <v>0</v>
      </c>
      <c r="AJ19" s="14">
        <f>IF(AM19=15,K19,0)</f>
        <v>0</v>
      </c>
      <c r="AK19" s="14">
        <f>IF(AM19=21,K19,0)</f>
        <v>0</v>
      </c>
      <c r="AM19" s="21">
        <v>15</v>
      </c>
      <c r="AN19" s="21">
        <f>H19*0.0311645101663586</f>
        <v>0</v>
      </c>
      <c r="AO19" s="21">
        <f>H19*(1-0.0311645101663586)</f>
        <v>0</v>
      </c>
      <c r="AP19" s="22" t="s">
        <v>13</v>
      </c>
      <c r="AU19" s="21">
        <f t="shared" si="9"/>
        <v>0</v>
      </c>
      <c r="AV19" s="21">
        <f>G19*AN19</f>
        <v>0</v>
      </c>
      <c r="AW19" s="21">
        <f>G19*AO19</f>
        <v>0</v>
      </c>
      <c r="AX19" s="24" t="s">
        <v>321</v>
      </c>
      <c r="AY19" s="24" t="s">
        <v>336</v>
      </c>
      <c r="AZ19" s="20" t="s">
        <v>352</v>
      </c>
      <c r="BB19" s="21">
        <f t="shared" si="10"/>
        <v>0</v>
      </c>
      <c r="BC19" s="21">
        <f>H19/(100-BD19)*100</f>
        <v>0</v>
      </c>
      <c r="BD19" s="21">
        <v>0</v>
      </c>
      <c r="BE19" s="21">
        <f>19</f>
        <v>19</v>
      </c>
      <c r="BG19" s="14">
        <f>G19*AN19</f>
        <v>0</v>
      </c>
      <c r="BH19" s="14">
        <f>G19*AO19</f>
        <v>0</v>
      </c>
      <c r="BI19" s="14">
        <f t="shared" si="11"/>
        <v>0</v>
      </c>
      <c r="BJ19" s="14" t="s">
        <v>159</v>
      </c>
      <c r="BK19" s="21">
        <v>725</v>
      </c>
    </row>
    <row r="20" spans="1:63" ht="12.75">
      <c r="A20" s="3" t="s">
        <v>13</v>
      </c>
      <c r="B20" s="9" t="s">
        <v>92</v>
      </c>
      <c r="C20" s="100" t="s">
        <v>177</v>
      </c>
      <c r="D20" s="101"/>
      <c r="E20" s="101"/>
      <c r="F20" s="9" t="s">
        <v>280</v>
      </c>
      <c r="G20" s="14">
        <v>6</v>
      </c>
      <c r="H20" s="14">
        <v>0</v>
      </c>
      <c r="I20" s="14">
        <f>G20*AN20</f>
        <v>0</v>
      </c>
      <c r="J20" s="14">
        <f>G20*AO20</f>
        <v>0</v>
      </c>
      <c r="K20" s="14">
        <f t="shared" si="0"/>
        <v>0</v>
      </c>
      <c r="L20" s="18"/>
      <c r="Y20" s="21">
        <f t="shared" si="1"/>
        <v>0</v>
      </c>
      <c r="AA20" s="21">
        <f t="shared" si="2"/>
        <v>0</v>
      </c>
      <c r="AB20" s="21">
        <f t="shared" si="3"/>
        <v>0</v>
      </c>
      <c r="AC20" s="21">
        <f t="shared" si="4"/>
        <v>0</v>
      </c>
      <c r="AD20" s="21">
        <f t="shared" si="5"/>
        <v>0</v>
      </c>
      <c r="AE20" s="21">
        <f t="shared" si="6"/>
        <v>0</v>
      </c>
      <c r="AF20" s="21">
        <f t="shared" si="7"/>
        <v>0</v>
      </c>
      <c r="AG20" s="21">
        <f t="shared" si="8"/>
        <v>0</v>
      </c>
      <c r="AH20" s="20" t="s">
        <v>310</v>
      </c>
      <c r="AI20" s="14">
        <f>IF(AM20=0,K20,0)</f>
        <v>0</v>
      </c>
      <c r="AJ20" s="14">
        <f>IF(AM20=15,K20,0)</f>
        <v>0</v>
      </c>
      <c r="AK20" s="14">
        <f>IF(AM20=21,K20,0)</f>
        <v>0</v>
      </c>
      <c r="AM20" s="21">
        <v>15</v>
      </c>
      <c r="AN20" s="21">
        <f>H20*0</f>
        <v>0</v>
      </c>
      <c r="AO20" s="21">
        <f>H20*(1-0)</f>
        <v>0</v>
      </c>
      <c r="AP20" s="22" t="s">
        <v>13</v>
      </c>
      <c r="AU20" s="21">
        <f t="shared" si="9"/>
        <v>0</v>
      </c>
      <c r="AV20" s="21">
        <f>G20*AN20</f>
        <v>0</v>
      </c>
      <c r="AW20" s="21">
        <f>G20*AO20</f>
        <v>0</v>
      </c>
      <c r="AX20" s="24" t="s">
        <v>321</v>
      </c>
      <c r="AY20" s="24" t="s">
        <v>336</v>
      </c>
      <c r="AZ20" s="20" t="s">
        <v>352</v>
      </c>
      <c r="BB20" s="21">
        <f t="shared" si="10"/>
        <v>0</v>
      </c>
      <c r="BC20" s="21">
        <f>H20/(100-BD20)*100</f>
        <v>0</v>
      </c>
      <c r="BD20" s="21">
        <v>0</v>
      </c>
      <c r="BE20" s="21">
        <f>20</f>
        <v>20</v>
      </c>
      <c r="BG20" s="14">
        <f>G20*AN20</f>
        <v>0</v>
      </c>
      <c r="BH20" s="14">
        <f>G20*AO20</f>
        <v>0</v>
      </c>
      <c r="BI20" s="14">
        <f t="shared" si="11"/>
        <v>0</v>
      </c>
      <c r="BJ20" s="14" t="s">
        <v>159</v>
      </c>
      <c r="BK20" s="21">
        <v>725</v>
      </c>
    </row>
    <row r="21" spans="1:63" ht="12.75">
      <c r="A21" s="3" t="s">
        <v>14</v>
      </c>
      <c r="B21" s="9" t="s">
        <v>93</v>
      </c>
      <c r="C21" s="100" t="s">
        <v>178</v>
      </c>
      <c r="D21" s="101"/>
      <c r="E21" s="101"/>
      <c r="F21" s="9" t="s">
        <v>281</v>
      </c>
      <c r="G21" s="14">
        <v>6</v>
      </c>
      <c r="H21" s="14">
        <v>0</v>
      </c>
      <c r="I21" s="14">
        <f>G21*AN21</f>
        <v>0</v>
      </c>
      <c r="J21" s="14">
        <f>G21*AO21</f>
        <v>0</v>
      </c>
      <c r="K21" s="14">
        <f t="shared" si="0"/>
        <v>0</v>
      </c>
      <c r="L21" s="18"/>
      <c r="Y21" s="21">
        <f t="shared" si="1"/>
        <v>0</v>
      </c>
      <c r="AA21" s="21">
        <f t="shared" si="2"/>
        <v>0</v>
      </c>
      <c r="AB21" s="21">
        <f t="shared" si="3"/>
        <v>0</v>
      </c>
      <c r="AC21" s="21">
        <f t="shared" si="4"/>
        <v>0</v>
      </c>
      <c r="AD21" s="21">
        <f t="shared" si="5"/>
        <v>0</v>
      </c>
      <c r="AE21" s="21">
        <f t="shared" si="6"/>
        <v>0</v>
      </c>
      <c r="AF21" s="21">
        <f t="shared" si="7"/>
        <v>0</v>
      </c>
      <c r="AG21" s="21">
        <f t="shared" si="8"/>
        <v>0</v>
      </c>
      <c r="AH21" s="20" t="s">
        <v>310</v>
      </c>
      <c r="AI21" s="14">
        <f>IF(AM21=0,K21,0)</f>
        <v>0</v>
      </c>
      <c r="AJ21" s="14">
        <f>IF(AM21=15,K21,0)</f>
        <v>0</v>
      </c>
      <c r="AK21" s="14">
        <f>IF(AM21=21,K21,0)</f>
        <v>0</v>
      </c>
      <c r="AM21" s="21">
        <v>15</v>
      </c>
      <c r="AN21" s="21">
        <f>H21*0.268412904041202</f>
        <v>0</v>
      </c>
      <c r="AO21" s="21">
        <f>H21*(1-0.268412904041202)</f>
        <v>0</v>
      </c>
      <c r="AP21" s="22" t="s">
        <v>13</v>
      </c>
      <c r="AU21" s="21">
        <f t="shared" si="9"/>
        <v>0</v>
      </c>
      <c r="AV21" s="21">
        <f>G21*AN21</f>
        <v>0</v>
      </c>
      <c r="AW21" s="21">
        <f>G21*AO21</f>
        <v>0</v>
      </c>
      <c r="AX21" s="24" t="s">
        <v>321</v>
      </c>
      <c r="AY21" s="24" t="s">
        <v>336</v>
      </c>
      <c r="AZ21" s="20" t="s">
        <v>352</v>
      </c>
      <c r="BB21" s="21">
        <f t="shared" si="10"/>
        <v>0</v>
      </c>
      <c r="BC21" s="21">
        <f>H21/(100-BD21)*100</f>
        <v>0</v>
      </c>
      <c r="BD21" s="21">
        <v>0</v>
      </c>
      <c r="BE21" s="21">
        <f>21</f>
        <v>21</v>
      </c>
      <c r="BG21" s="14">
        <f>G21*AN21</f>
        <v>0</v>
      </c>
      <c r="BH21" s="14">
        <f>G21*AO21</f>
        <v>0</v>
      </c>
      <c r="BI21" s="14">
        <f t="shared" si="11"/>
        <v>0</v>
      </c>
      <c r="BJ21" s="14" t="s">
        <v>159</v>
      </c>
      <c r="BK21" s="21">
        <v>725</v>
      </c>
    </row>
    <row r="22" spans="1:63" ht="12.75">
      <c r="A22" s="3" t="s">
        <v>15</v>
      </c>
      <c r="B22" s="9" t="s">
        <v>94</v>
      </c>
      <c r="C22" s="100" t="s">
        <v>179</v>
      </c>
      <c r="D22" s="101"/>
      <c r="E22" s="101"/>
      <c r="F22" s="9" t="s">
        <v>281</v>
      </c>
      <c r="G22" s="14">
        <v>6</v>
      </c>
      <c r="H22" s="14">
        <v>0</v>
      </c>
      <c r="I22" s="14">
        <f>G22*AN22</f>
        <v>0</v>
      </c>
      <c r="J22" s="14">
        <f>G22*AO22</f>
        <v>0</v>
      </c>
      <c r="K22" s="14">
        <f t="shared" si="0"/>
        <v>0</v>
      </c>
      <c r="L22" s="18"/>
      <c r="Y22" s="21">
        <f t="shared" si="1"/>
        <v>0</v>
      </c>
      <c r="AA22" s="21">
        <f t="shared" si="2"/>
        <v>0</v>
      </c>
      <c r="AB22" s="21">
        <f t="shared" si="3"/>
        <v>0</v>
      </c>
      <c r="AC22" s="21">
        <f t="shared" si="4"/>
        <v>0</v>
      </c>
      <c r="AD22" s="21">
        <f t="shared" si="5"/>
        <v>0</v>
      </c>
      <c r="AE22" s="21">
        <f t="shared" si="6"/>
        <v>0</v>
      </c>
      <c r="AF22" s="21">
        <f t="shared" si="7"/>
        <v>0</v>
      </c>
      <c r="AG22" s="21">
        <f t="shared" si="8"/>
        <v>0</v>
      </c>
      <c r="AH22" s="20" t="s">
        <v>310</v>
      </c>
      <c r="AI22" s="14">
        <f>IF(AM22=0,K22,0)</f>
        <v>0</v>
      </c>
      <c r="AJ22" s="14">
        <f>IF(AM22=15,K22,0)</f>
        <v>0</v>
      </c>
      <c r="AK22" s="14">
        <f>IF(AM22=21,K22,0)</f>
        <v>0</v>
      </c>
      <c r="AM22" s="21">
        <v>15</v>
      </c>
      <c r="AN22" s="21">
        <f>H22*0</f>
        <v>0</v>
      </c>
      <c r="AO22" s="21">
        <f>H22*(1-0)</f>
        <v>0</v>
      </c>
      <c r="AP22" s="22" t="s">
        <v>13</v>
      </c>
      <c r="AU22" s="21">
        <f t="shared" si="9"/>
        <v>0</v>
      </c>
      <c r="AV22" s="21">
        <f>G22*AN22</f>
        <v>0</v>
      </c>
      <c r="AW22" s="21">
        <f>G22*AO22</f>
        <v>0</v>
      </c>
      <c r="AX22" s="24" t="s">
        <v>321</v>
      </c>
      <c r="AY22" s="24" t="s">
        <v>336</v>
      </c>
      <c r="AZ22" s="20" t="s">
        <v>352</v>
      </c>
      <c r="BB22" s="21">
        <f t="shared" si="10"/>
        <v>0</v>
      </c>
      <c r="BC22" s="21">
        <f>H22/(100-BD22)*100</f>
        <v>0</v>
      </c>
      <c r="BD22" s="21">
        <v>0</v>
      </c>
      <c r="BE22" s="21">
        <f>22</f>
        <v>22</v>
      </c>
      <c r="BG22" s="14">
        <f>G22*AN22</f>
        <v>0</v>
      </c>
      <c r="BH22" s="14">
        <f>G22*AO22</f>
        <v>0</v>
      </c>
      <c r="BI22" s="14">
        <f t="shared" si="11"/>
        <v>0</v>
      </c>
      <c r="BJ22" s="14" t="s">
        <v>159</v>
      </c>
      <c r="BK22" s="21">
        <v>725</v>
      </c>
    </row>
    <row r="23" spans="1:63" ht="12.75">
      <c r="A23" s="3" t="s">
        <v>16</v>
      </c>
      <c r="B23" s="9" t="s">
        <v>95</v>
      </c>
      <c r="C23" s="100" t="s">
        <v>180</v>
      </c>
      <c r="D23" s="101"/>
      <c r="E23" s="101"/>
      <c r="F23" s="9" t="s">
        <v>281</v>
      </c>
      <c r="G23" s="14">
        <v>6</v>
      </c>
      <c r="H23" s="14">
        <v>0</v>
      </c>
      <c r="I23" s="14">
        <f>G23*AN23</f>
        <v>0</v>
      </c>
      <c r="J23" s="14">
        <f>G23*AO23</f>
        <v>0</v>
      </c>
      <c r="K23" s="14">
        <f t="shared" si="0"/>
        <v>0</v>
      </c>
      <c r="L23" s="18"/>
      <c r="Y23" s="21">
        <f t="shared" si="1"/>
        <v>0</v>
      </c>
      <c r="AA23" s="21">
        <f t="shared" si="2"/>
        <v>0</v>
      </c>
      <c r="AB23" s="21">
        <f t="shared" si="3"/>
        <v>0</v>
      </c>
      <c r="AC23" s="21">
        <f t="shared" si="4"/>
        <v>0</v>
      </c>
      <c r="AD23" s="21">
        <f t="shared" si="5"/>
        <v>0</v>
      </c>
      <c r="AE23" s="21">
        <f t="shared" si="6"/>
        <v>0</v>
      </c>
      <c r="AF23" s="21">
        <f t="shared" si="7"/>
        <v>0</v>
      </c>
      <c r="AG23" s="21">
        <f t="shared" si="8"/>
        <v>0</v>
      </c>
      <c r="AH23" s="20" t="s">
        <v>310</v>
      </c>
      <c r="AI23" s="14">
        <f>IF(AM23=0,K23,0)</f>
        <v>0</v>
      </c>
      <c r="AJ23" s="14">
        <f>IF(AM23=15,K23,0)</f>
        <v>0</v>
      </c>
      <c r="AK23" s="14">
        <f>IF(AM23=21,K23,0)</f>
        <v>0</v>
      </c>
      <c r="AM23" s="21">
        <v>15</v>
      </c>
      <c r="AN23" s="21">
        <f>H23*0.20976897689769</f>
        <v>0</v>
      </c>
      <c r="AO23" s="21">
        <f>H23*(1-0.20976897689769)</f>
        <v>0</v>
      </c>
      <c r="AP23" s="22" t="s">
        <v>13</v>
      </c>
      <c r="AU23" s="21">
        <f t="shared" si="9"/>
        <v>0</v>
      </c>
      <c r="AV23" s="21">
        <f>G23*AN23</f>
        <v>0</v>
      </c>
      <c r="AW23" s="21">
        <f>G23*AO23</f>
        <v>0</v>
      </c>
      <c r="AX23" s="24" t="s">
        <v>321</v>
      </c>
      <c r="AY23" s="24" t="s">
        <v>336</v>
      </c>
      <c r="AZ23" s="20" t="s">
        <v>352</v>
      </c>
      <c r="BB23" s="21">
        <f t="shared" si="10"/>
        <v>0</v>
      </c>
      <c r="BC23" s="21">
        <f>H23/(100-BD23)*100</f>
        <v>0</v>
      </c>
      <c r="BD23" s="21">
        <v>0</v>
      </c>
      <c r="BE23" s="21">
        <f>23</f>
        <v>23</v>
      </c>
      <c r="BG23" s="14">
        <f>G23*AN23</f>
        <v>0</v>
      </c>
      <c r="BH23" s="14">
        <f>G23*AO23</f>
        <v>0</v>
      </c>
      <c r="BI23" s="14">
        <f t="shared" si="11"/>
        <v>0</v>
      </c>
      <c r="BJ23" s="14" t="s">
        <v>159</v>
      </c>
      <c r="BK23" s="21">
        <v>725</v>
      </c>
    </row>
    <row r="24" spans="1:63" ht="12.75">
      <c r="A24" s="3" t="s">
        <v>17</v>
      </c>
      <c r="B24" s="9" t="s">
        <v>96</v>
      </c>
      <c r="C24" s="100" t="s">
        <v>181</v>
      </c>
      <c r="D24" s="101"/>
      <c r="E24" s="101"/>
      <c r="F24" s="9" t="s">
        <v>281</v>
      </c>
      <c r="G24" s="14">
        <v>18</v>
      </c>
      <c r="H24" s="14">
        <v>0</v>
      </c>
      <c r="I24" s="14">
        <f>G24*AN24</f>
        <v>0</v>
      </c>
      <c r="J24" s="14">
        <f>G24*AO24</f>
        <v>0</v>
      </c>
      <c r="K24" s="14">
        <f t="shared" si="0"/>
        <v>0</v>
      </c>
      <c r="L24" s="18"/>
      <c r="Y24" s="21">
        <f t="shared" si="1"/>
        <v>0</v>
      </c>
      <c r="AA24" s="21">
        <f t="shared" si="2"/>
        <v>0</v>
      </c>
      <c r="AB24" s="21">
        <f t="shared" si="3"/>
        <v>0</v>
      </c>
      <c r="AC24" s="21">
        <f t="shared" si="4"/>
        <v>0</v>
      </c>
      <c r="AD24" s="21">
        <f t="shared" si="5"/>
        <v>0</v>
      </c>
      <c r="AE24" s="21">
        <f t="shared" si="6"/>
        <v>0</v>
      </c>
      <c r="AF24" s="21">
        <f t="shared" si="7"/>
        <v>0</v>
      </c>
      <c r="AG24" s="21">
        <f t="shared" si="8"/>
        <v>0</v>
      </c>
      <c r="AH24" s="20" t="s">
        <v>310</v>
      </c>
      <c r="AI24" s="14">
        <f>IF(AM24=0,K24,0)</f>
        <v>0</v>
      </c>
      <c r="AJ24" s="14">
        <f>IF(AM24=15,K24,0)</f>
        <v>0</v>
      </c>
      <c r="AK24" s="14">
        <f>IF(AM24=21,K24,0)</f>
        <v>0</v>
      </c>
      <c r="AM24" s="21">
        <v>15</v>
      </c>
      <c r="AN24" s="21">
        <f>H24*0</f>
        <v>0</v>
      </c>
      <c r="AO24" s="21">
        <f>H24*(1-0)</f>
        <v>0</v>
      </c>
      <c r="AP24" s="22" t="s">
        <v>13</v>
      </c>
      <c r="AU24" s="21">
        <f t="shared" si="9"/>
        <v>0</v>
      </c>
      <c r="AV24" s="21">
        <f>G24*AN24</f>
        <v>0</v>
      </c>
      <c r="AW24" s="21">
        <f>G24*AO24</f>
        <v>0</v>
      </c>
      <c r="AX24" s="24" t="s">
        <v>321</v>
      </c>
      <c r="AY24" s="24" t="s">
        <v>336</v>
      </c>
      <c r="AZ24" s="20" t="s">
        <v>352</v>
      </c>
      <c r="BB24" s="21">
        <f t="shared" si="10"/>
        <v>0</v>
      </c>
      <c r="BC24" s="21">
        <f>H24/(100-BD24)*100</f>
        <v>0</v>
      </c>
      <c r="BD24" s="21">
        <v>0</v>
      </c>
      <c r="BE24" s="21">
        <f>24</f>
        <v>24</v>
      </c>
      <c r="BG24" s="14">
        <f>G24*AN24</f>
        <v>0</v>
      </c>
      <c r="BH24" s="14">
        <f>G24*AO24</f>
        <v>0</v>
      </c>
      <c r="BI24" s="14">
        <f t="shared" si="11"/>
        <v>0</v>
      </c>
      <c r="BJ24" s="14" t="s">
        <v>159</v>
      </c>
      <c r="BK24" s="21">
        <v>725</v>
      </c>
    </row>
    <row r="25" spans="1:63" ht="12.75">
      <c r="A25" s="3" t="s">
        <v>18</v>
      </c>
      <c r="B25" s="9" t="s">
        <v>97</v>
      </c>
      <c r="C25" s="100" t="s">
        <v>182</v>
      </c>
      <c r="D25" s="101"/>
      <c r="E25" s="101"/>
      <c r="F25" s="9" t="s">
        <v>281</v>
      </c>
      <c r="G25" s="14">
        <v>18</v>
      </c>
      <c r="H25" s="14">
        <v>0</v>
      </c>
      <c r="I25" s="14">
        <f>G25*AN25</f>
        <v>0</v>
      </c>
      <c r="J25" s="14">
        <f>G25*AO25</f>
        <v>0</v>
      </c>
      <c r="K25" s="14">
        <f t="shared" si="0"/>
        <v>0</v>
      </c>
      <c r="L25" s="18"/>
      <c r="Y25" s="21">
        <f t="shared" si="1"/>
        <v>0</v>
      </c>
      <c r="AA25" s="21">
        <f t="shared" si="2"/>
        <v>0</v>
      </c>
      <c r="AB25" s="21">
        <f t="shared" si="3"/>
        <v>0</v>
      </c>
      <c r="AC25" s="21">
        <f t="shared" si="4"/>
        <v>0</v>
      </c>
      <c r="AD25" s="21">
        <f t="shared" si="5"/>
        <v>0</v>
      </c>
      <c r="AE25" s="21">
        <f t="shared" si="6"/>
        <v>0</v>
      </c>
      <c r="AF25" s="21">
        <f t="shared" si="7"/>
        <v>0</v>
      </c>
      <c r="AG25" s="21">
        <f t="shared" si="8"/>
        <v>0</v>
      </c>
      <c r="AH25" s="20" t="s">
        <v>310</v>
      </c>
      <c r="AI25" s="14">
        <f>IF(AM25=0,K25,0)</f>
        <v>0</v>
      </c>
      <c r="AJ25" s="14">
        <f>IF(AM25=15,K25,0)</f>
        <v>0</v>
      </c>
      <c r="AK25" s="14">
        <f>IF(AM25=21,K25,0)</f>
        <v>0</v>
      </c>
      <c r="AM25" s="21">
        <v>15</v>
      </c>
      <c r="AN25" s="21">
        <f>H25*0.166983916797705</f>
        <v>0</v>
      </c>
      <c r="AO25" s="21">
        <f>H25*(1-0.166983916797705)</f>
        <v>0</v>
      </c>
      <c r="AP25" s="22" t="s">
        <v>13</v>
      </c>
      <c r="AU25" s="21">
        <f t="shared" si="9"/>
        <v>0</v>
      </c>
      <c r="AV25" s="21">
        <f>G25*AN25</f>
        <v>0</v>
      </c>
      <c r="AW25" s="21">
        <f>G25*AO25</f>
        <v>0</v>
      </c>
      <c r="AX25" s="24" t="s">
        <v>321</v>
      </c>
      <c r="AY25" s="24" t="s">
        <v>336</v>
      </c>
      <c r="AZ25" s="20" t="s">
        <v>352</v>
      </c>
      <c r="BB25" s="21">
        <f t="shared" si="10"/>
        <v>0</v>
      </c>
      <c r="BC25" s="21">
        <f>H25/(100-BD25)*100</f>
        <v>0</v>
      </c>
      <c r="BD25" s="21">
        <v>0</v>
      </c>
      <c r="BE25" s="21">
        <f>25</f>
        <v>25</v>
      </c>
      <c r="BG25" s="14">
        <f>G25*AN25</f>
        <v>0</v>
      </c>
      <c r="BH25" s="14">
        <f>G25*AO25</f>
        <v>0</v>
      </c>
      <c r="BI25" s="14">
        <f t="shared" si="11"/>
        <v>0</v>
      </c>
      <c r="BJ25" s="14" t="s">
        <v>159</v>
      </c>
      <c r="BK25" s="21">
        <v>725</v>
      </c>
    </row>
    <row r="26" spans="1:63" ht="12.75">
      <c r="A26" s="3" t="s">
        <v>19</v>
      </c>
      <c r="B26" s="9" t="s">
        <v>98</v>
      </c>
      <c r="C26" s="100" t="s">
        <v>183</v>
      </c>
      <c r="D26" s="101"/>
      <c r="E26" s="101"/>
      <c r="F26" s="9" t="s">
        <v>281</v>
      </c>
      <c r="G26" s="14">
        <v>18</v>
      </c>
      <c r="H26" s="14">
        <v>0</v>
      </c>
      <c r="I26" s="14">
        <f>G26*AN26</f>
        <v>0</v>
      </c>
      <c r="J26" s="14">
        <f>G26*AO26</f>
        <v>0</v>
      </c>
      <c r="K26" s="14">
        <f t="shared" si="0"/>
        <v>0</v>
      </c>
      <c r="L26" s="18"/>
      <c r="Y26" s="21">
        <f t="shared" si="1"/>
        <v>0</v>
      </c>
      <c r="AA26" s="21">
        <f t="shared" si="2"/>
        <v>0</v>
      </c>
      <c r="AB26" s="21">
        <f t="shared" si="3"/>
        <v>0</v>
      </c>
      <c r="AC26" s="21">
        <f t="shared" si="4"/>
        <v>0</v>
      </c>
      <c r="AD26" s="21">
        <f t="shared" si="5"/>
        <v>0</v>
      </c>
      <c r="AE26" s="21">
        <f t="shared" si="6"/>
        <v>0</v>
      </c>
      <c r="AF26" s="21">
        <f t="shared" si="7"/>
        <v>0</v>
      </c>
      <c r="AG26" s="21">
        <f t="shared" si="8"/>
        <v>0</v>
      </c>
      <c r="AH26" s="20" t="s">
        <v>310</v>
      </c>
      <c r="AI26" s="14">
        <f>IF(AM26=0,K26,0)</f>
        <v>0</v>
      </c>
      <c r="AJ26" s="14">
        <f>IF(AM26=15,K26,0)</f>
        <v>0</v>
      </c>
      <c r="AK26" s="14">
        <f>IF(AM26=21,K26,0)</f>
        <v>0</v>
      </c>
      <c r="AM26" s="21">
        <v>15</v>
      </c>
      <c r="AN26" s="21">
        <f>H26*0</f>
        <v>0</v>
      </c>
      <c r="AO26" s="21">
        <f>H26*(1-0)</f>
        <v>0</v>
      </c>
      <c r="AP26" s="22" t="s">
        <v>13</v>
      </c>
      <c r="AU26" s="21">
        <f t="shared" si="9"/>
        <v>0</v>
      </c>
      <c r="AV26" s="21">
        <f>G26*AN26</f>
        <v>0</v>
      </c>
      <c r="AW26" s="21">
        <f>G26*AO26</f>
        <v>0</v>
      </c>
      <c r="AX26" s="24" t="s">
        <v>321</v>
      </c>
      <c r="AY26" s="24" t="s">
        <v>336</v>
      </c>
      <c r="AZ26" s="20" t="s">
        <v>352</v>
      </c>
      <c r="BB26" s="21">
        <f t="shared" si="10"/>
        <v>0</v>
      </c>
      <c r="BC26" s="21">
        <f>H26/(100-BD26)*100</f>
        <v>0</v>
      </c>
      <c r="BD26" s="21">
        <v>0</v>
      </c>
      <c r="BE26" s="21">
        <f>26</f>
        <v>26</v>
      </c>
      <c r="BG26" s="14">
        <f>G26*AN26</f>
        <v>0</v>
      </c>
      <c r="BH26" s="14">
        <f>G26*AO26</f>
        <v>0</v>
      </c>
      <c r="BI26" s="14">
        <f t="shared" si="11"/>
        <v>0</v>
      </c>
      <c r="BJ26" s="14" t="s">
        <v>159</v>
      </c>
      <c r="BK26" s="21">
        <v>725</v>
      </c>
    </row>
    <row r="27" spans="1:63" ht="12.75">
      <c r="A27" s="3" t="s">
        <v>20</v>
      </c>
      <c r="B27" s="9" t="s">
        <v>99</v>
      </c>
      <c r="C27" s="100" t="s">
        <v>184</v>
      </c>
      <c r="D27" s="101"/>
      <c r="E27" s="101"/>
      <c r="F27" s="9" t="s">
        <v>281</v>
      </c>
      <c r="G27" s="14">
        <v>18</v>
      </c>
      <c r="H27" s="14">
        <v>0</v>
      </c>
      <c r="I27" s="14">
        <f>G27*AN27</f>
        <v>0</v>
      </c>
      <c r="J27" s="14">
        <f>G27*AO27</f>
        <v>0</v>
      </c>
      <c r="K27" s="14">
        <f t="shared" si="0"/>
        <v>0</v>
      </c>
      <c r="L27" s="18"/>
      <c r="Y27" s="21">
        <f t="shared" si="1"/>
        <v>0</v>
      </c>
      <c r="AA27" s="21">
        <f t="shared" si="2"/>
        <v>0</v>
      </c>
      <c r="AB27" s="21">
        <f t="shared" si="3"/>
        <v>0</v>
      </c>
      <c r="AC27" s="21">
        <f t="shared" si="4"/>
        <v>0</v>
      </c>
      <c r="AD27" s="21">
        <f t="shared" si="5"/>
        <v>0</v>
      </c>
      <c r="AE27" s="21">
        <f t="shared" si="6"/>
        <v>0</v>
      </c>
      <c r="AF27" s="21">
        <f t="shared" si="7"/>
        <v>0</v>
      </c>
      <c r="AG27" s="21">
        <f t="shared" si="8"/>
        <v>0</v>
      </c>
      <c r="AH27" s="20" t="s">
        <v>310</v>
      </c>
      <c r="AI27" s="14">
        <f>IF(AM27=0,K27,0)</f>
        <v>0</v>
      </c>
      <c r="AJ27" s="14">
        <f>IF(AM27=15,K27,0)</f>
        <v>0</v>
      </c>
      <c r="AK27" s="14">
        <f>IF(AM27=21,K27,0)</f>
        <v>0</v>
      </c>
      <c r="AM27" s="21">
        <v>15</v>
      </c>
      <c r="AN27" s="21">
        <f>H27*0.179518204817952</f>
        <v>0</v>
      </c>
      <c r="AO27" s="21">
        <f>H27*(1-0.179518204817952)</f>
        <v>0</v>
      </c>
      <c r="AP27" s="22" t="s">
        <v>13</v>
      </c>
      <c r="AU27" s="21">
        <f t="shared" si="9"/>
        <v>0</v>
      </c>
      <c r="AV27" s="21">
        <f>G27*AN27</f>
        <v>0</v>
      </c>
      <c r="AW27" s="21">
        <f>G27*AO27</f>
        <v>0</v>
      </c>
      <c r="AX27" s="24" t="s">
        <v>321</v>
      </c>
      <c r="AY27" s="24" t="s">
        <v>336</v>
      </c>
      <c r="AZ27" s="20" t="s">
        <v>352</v>
      </c>
      <c r="BB27" s="21">
        <f t="shared" si="10"/>
        <v>0</v>
      </c>
      <c r="BC27" s="21">
        <f>H27/(100-BD27)*100</f>
        <v>0</v>
      </c>
      <c r="BD27" s="21">
        <v>0</v>
      </c>
      <c r="BE27" s="21">
        <f>27</f>
        <v>27</v>
      </c>
      <c r="BG27" s="14">
        <f>G27*AN27</f>
        <v>0</v>
      </c>
      <c r="BH27" s="14">
        <f>G27*AO27</f>
        <v>0</v>
      </c>
      <c r="BI27" s="14">
        <f t="shared" si="11"/>
        <v>0</v>
      </c>
      <c r="BJ27" s="14" t="s">
        <v>159</v>
      </c>
      <c r="BK27" s="21">
        <v>725</v>
      </c>
    </row>
    <row r="28" spans="1:63" ht="12.75">
      <c r="A28" s="62" t="s">
        <v>21</v>
      </c>
      <c r="B28" s="63" t="s">
        <v>100</v>
      </c>
      <c r="C28" s="102" t="s">
        <v>185</v>
      </c>
      <c r="D28" s="103"/>
      <c r="E28" s="103"/>
      <c r="F28" s="63" t="s">
        <v>281</v>
      </c>
      <c r="G28" s="64">
        <v>18</v>
      </c>
      <c r="H28" s="64">
        <v>0</v>
      </c>
      <c r="I28" s="64">
        <f>G28*AN28</f>
        <v>0</v>
      </c>
      <c r="J28" s="64">
        <f>G28*AO28</f>
        <v>0</v>
      </c>
      <c r="K28" s="64">
        <f t="shared" si="0"/>
        <v>0</v>
      </c>
      <c r="L28" s="18"/>
      <c r="Y28" s="21">
        <f t="shared" si="1"/>
        <v>0</v>
      </c>
      <c r="AA28" s="21">
        <f t="shared" si="2"/>
        <v>0</v>
      </c>
      <c r="AB28" s="21">
        <f t="shared" si="3"/>
        <v>0</v>
      </c>
      <c r="AC28" s="21">
        <f t="shared" si="4"/>
        <v>0</v>
      </c>
      <c r="AD28" s="21">
        <f t="shared" si="5"/>
        <v>0</v>
      </c>
      <c r="AE28" s="21">
        <f t="shared" si="6"/>
        <v>0</v>
      </c>
      <c r="AF28" s="21">
        <f t="shared" si="7"/>
        <v>0</v>
      </c>
      <c r="AG28" s="21">
        <f t="shared" si="8"/>
        <v>0</v>
      </c>
      <c r="AH28" s="20" t="s">
        <v>310</v>
      </c>
      <c r="AI28" s="15">
        <f>IF(AM28=0,K28,0)</f>
        <v>0</v>
      </c>
      <c r="AJ28" s="15">
        <f>IF(AM28=15,K28,0)</f>
        <v>0</v>
      </c>
      <c r="AK28" s="15">
        <f>IF(AM28=21,K28,0)</f>
        <v>0</v>
      </c>
      <c r="AM28" s="21">
        <v>15</v>
      </c>
      <c r="AN28" s="21">
        <f>H28*1</f>
        <v>0</v>
      </c>
      <c r="AO28" s="21">
        <f>H28*(1-1)</f>
        <v>0</v>
      </c>
      <c r="AP28" s="23" t="s">
        <v>13</v>
      </c>
      <c r="AU28" s="21">
        <f t="shared" si="9"/>
        <v>0</v>
      </c>
      <c r="AV28" s="21">
        <f>G28*AN28</f>
        <v>0</v>
      </c>
      <c r="AW28" s="21">
        <f>G28*AO28</f>
        <v>0</v>
      </c>
      <c r="AX28" s="24" t="s">
        <v>321</v>
      </c>
      <c r="AY28" s="24" t="s">
        <v>336</v>
      </c>
      <c r="AZ28" s="20" t="s">
        <v>352</v>
      </c>
      <c r="BB28" s="21">
        <f t="shared" si="10"/>
        <v>0</v>
      </c>
      <c r="BC28" s="21">
        <f>H28/(100-BD28)*100</f>
        <v>0</v>
      </c>
      <c r="BD28" s="21">
        <v>0</v>
      </c>
      <c r="BE28" s="21">
        <f>28</f>
        <v>28</v>
      </c>
      <c r="BG28" s="15">
        <f>G28*AN28</f>
        <v>0</v>
      </c>
      <c r="BH28" s="15">
        <f>G28*AO28</f>
        <v>0</v>
      </c>
      <c r="BI28" s="15">
        <f t="shared" si="11"/>
        <v>0</v>
      </c>
      <c r="BJ28" s="15" t="s">
        <v>367</v>
      </c>
      <c r="BK28" s="21">
        <v>725</v>
      </c>
    </row>
    <row r="29" spans="1:12" ht="12.75">
      <c r="A29" s="65"/>
      <c r="B29" s="66"/>
      <c r="C29" s="104" t="s">
        <v>186</v>
      </c>
      <c r="D29" s="105"/>
      <c r="E29" s="106"/>
      <c r="F29" s="65" t="s">
        <v>6</v>
      </c>
      <c r="G29" s="65" t="s">
        <v>6</v>
      </c>
      <c r="H29" s="65" t="s">
        <v>6</v>
      </c>
      <c r="I29" s="67">
        <f>I30+I32+I35</f>
        <v>0</v>
      </c>
      <c r="J29" s="67">
        <f>J30+J32+J35</f>
        <v>0</v>
      </c>
      <c r="K29" s="67">
        <f>K30+K32+K35</f>
        <v>0</v>
      </c>
      <c r="L29" s="61"/>
    </row>
    <row r="30" spans="1:46" ht="12.75">
      <c r="A30" s="2"/>
      <c r="B30" s="8" t="s">
        <v>101</v>
      </c>
      <c r="C30" s="98" t="s">
        <v>187</v>
      </c>
      <c r="D30" s="99"/>
      <c r="E30" s="99"/>
      <c r="F30" s="12" t="s">
        <v>6</v>
      </c>
      <c r="G30" s="12" t="s">
        <v>6</v>
      </c>
      <c r="H30" s="12" t="s">
        <v>6</v>
      </c>
      <c r="I30" s="26">
        <f>SUM(I31:I31)</f>
        <v>0</v>
      </c>
      <c r="J30" s="26">
        <f>SUM(J31:J31)</f>
        <v>0</v>
      </c>
      <c r="K30" s="26">
        <f>SUM(K31:K31)</f>
        <v>0</v>
      </c>
      <c r="L30" s="18"/>
      <c r="AH30" s="20" t="s">
        <v>311</v>
      </c>
      <c r="AR30" s="26">
        <f>SUM(AI31:AI31)</f>
        <v>0</v>
      </c>
      <c r="AS30" s="26">
        <f>SUM(AJ31:AJ31)</f>
        <v>0</v>
      </c>
      <c r="AT30" s="26">
        <f>SUM(AK31:AK31)</f>
        <v>0</v>
      </c>
    </row>
    <row r="31" spans="1:63" ht="12.75">
      <c r="A31" s="3" t="s">
        <v>22</v>
      </c>
      <c r="B31" s="9" t="s">
        <v>102</v>
      </c>
      <c r="C31" s="100" t="s">
        <v>188</v>
      </c>
      <c r="D31" s="101"/>
      <c r="E31" s="101"/>
      <c r="F31" s="9" t="s">
        <v>281</v>
      </c>
      <c r="G31" s="14">
        <v>18</v>
      </c>
      <c r="H31" s="14">
        <v>0</v>
      </c>
      <c r="I31" s="14">
        <f>G31*AN31</f>
        <v>0</v>
      </c>
      <c r="J31" s="14">
        <f>G31*AO31</f>
        <v>0</v>
      </c>
      <c r="K31" s="14">
        <f>G31*H31</f>
        <v>0</v>
      </c>
      <c r="L31" s="18"/>
      <c r="Y31" s="21">
        <f>IF(AP31="5",BI31,0)</f>
        <v>0</v>
      </c>
      <c r="AA31" s="21">
        <f>IF(AP31="1",BG31,0)</f>
        <v>0</v>
      </c>
      <c r="AB31" s="21">
        <f>IF(AP31="1",BH31,0)</f>
        <v>0</v>
      </c>
      <c r="AC31" s="21">
        <f>IF(AP31="7",BG31,0)</f>
        <v>0</v>
      </c>
      <c r="AD31" s="21">
        <f>IF(AP31="7",BH31,0)</f>
        <v>0</v>
      </c>
      <c r="AE31" s="21">
        <f>IF(AP31="2",BG31,0)</f>
        <v>0</v>
      </c>
      <c r="AF31" s="21">
        <f>IF(AP31="2",BH31,0)</f>
        <v>0</v>
      </c>
      <c r="AG31" s="21">
        <f>IF(AP31="0",BI31,0)</f>
        <v>0</v>
      </c>
      <c r="AH31" s="20" t="s">
        <v>311</v>
      </c>
      <c r="AI31" s="14">
        <f>IF(AM31=0,K31,0)</f>
        <v>0</v>
      </c>
      <c r="AJ31" s="14">
        <f>IF(AM31=15,K31,0)</f>
        <v>0</v>
      </c>
      <c r="AK31" s="14">
        <f>IF(AM31=21,K31,0)</f>
        <v>0</v>
      </c>
      <c r="AM31" s="21">
        <v>15</v>
      </c>
      <c r="AN31" s="21">
        <f>H31*0</f>
        <v>0</v>
      </c>
      <c r="AO31" s="21">
        <f>H31*(1-0)</f>
        <v>0</v>
      </c>
      <c r="AP31" s="22" t="s">
        <v>13</v>
      </c>
      <c r="AU31" s="21">
        <f>AV31+AW31</f>
        <v>0</v>
      </c>
      <c r="AV31" s="21">
        <f>G31*AN31</f>
        <v>0</v>
      </c>
      <c r="AW31" s="21">
        <f>G31*AO31</f>
        <v>0</v>
      </c>
      <c r="AX31" s="24" t="s">
        <v>322</v>
      </c>
      <c r="AY31" s="24" t="s">
        <v>337</v>
      </c>
      <c r="AZ31" s="20" t="s">
        <v>353</v>
      </c>
      <c r="BB31" s="21">
        <f>AV31+AW31</f>
        <v>0</v>
      </c>
      <c r="BC31" s="21">
        <f>H31/(100-BD31)*100</f>
        <v>0</v>
      </c>
      <c r="BD31" s="21">
        <v>0</v>
      </c>
      <c r="BE31" s="21">
        <f>31</f>
        <v>31</v>
      </c>
      <c r="BG31" s="14">
        <f>G31*AN31</f>
        <v>0</v>
      </c>
      <c r="BH31" s="14">
        <f>G31*AO31</f>
        <v>0</v>
      </c>
      <c r="BI31" s="14">
        <f>G31*H31</f>
        <v>0</v>
      </c>
      <c r="BJ31" s="14" t="s">
        <v>159</v>
      </c>
      <c r="BK31" s="21">
        <v>721</v>
      </c>
    </row>
    <row r="32" spans="1:46" ht="12.75">
      <c r="A32" s="2"/>
      <c r="B32" s="8" t="s">
        <v>103</v>
      </c>
      <c r="C32" s="98" t="s">
        <v>189</v>
      </c>
      <c r="D32" s="99"/>
      <c r="E32" s="99"/>
      <c r="F32" s="12" t="s">
        <v>6</v>
      </c>
      <c r="G32" s="12" t="s">
        <v>6</v>
      </c>
      <c r="H32" s="12" t="s">
        <v>6</v>
      </c>
      <c r="I32" s="26">
        <f>SUM(I33:I34)</f>
        <v>0</v>
      </c>
      <c r="J32" s="26">
        <f>SUM(J33:J34)</f>
        <v>0</v>
      </c>
      <c r="K32" s="26">
        <f>SUM(K33:K34)</f>
        <v>0</v>
      </c>
      <c r="L32" s="18"/>
      <c r="AH32" s="20" t="s">
        <v>311</v>
      </c>
      <c r="AR32" s="26">
        <f>SUM(AI33:AI34)</f>
        <v>0</v>
      </c>
      <c r="AS32" s="26">
        <f>SUM(AJ33:AJ34)</f>
        <v>0</v>
      </c>
      <c r="AT32" s="26">
        <f>SUM(AK33:AK34)</f>
        <v>0</v>
      </c>
    </row>
    <row r="33" spans="1:63" ht="12.75">
      <c r="A33" s="3" t="s">
        <v>23</v>
      </c>
      <c r="B33" s="9" t="s">
        <v>104</v>
      </c>
      <c r="C33" s="100" t="s">
        <v>190</v>
      </c>
      <c r="D33" s="101"/>
      <c r="E33" s="101"/>
      <c r="F33" s="9" t="s">
        <v>282</v>
      </c>
      <c r="G33" s="14">
        <v>103.7</v>
      </c>
      <c r="H33" s="14">
        <v>0</v>
      </c>
      <c r="I33" s="14">
        <f>G33*AN33</f>
        <v>0</v>
      </c>
      <c r="J33" s="14">
        <f>G33*AO33</f>
        <v>0</v>
      </c>
      <c r="K33" s="14">
        <f>G33*H33</f>
        <v>0</v>
      </c>
      <c r="L33" s="18"/>
      <c r="Y33" s="21">
        <f>IF(AP33="5",BI33,0)</f>
        <v>0</v>
      </c>
      <c r="AA33" s="21">
        <f>IF(AP33="1",BG33,0)</f>
        <v>0</v>
      </c>
      <c r="AB33" s="21">
        <f>IF(AP33="1",BH33,0)</f>
        <v>0</v>
      </c>
      <c r="AC33" s="21">
        <f>IF(AP33="7",BG33,0)</f>
        <v>0</v>
      </c>
      <c r="AD33" s="21">
        <f>IF(AP33="7",BH33,0)</f>
        <v>0</v>
      </c>
      <c r="AE33" s="21">
        <f>IF(AP33="2",BG33,0)</f>
        <v>0</v>
      </c>
      <c r="AF33" s="21">
        <f>IF(AP33="2",BH33,0)</f>
        <v>0</v>
      </c>
      <c r="AG33" s="21">
        <f>IF(AP33="0",BI33,0)</f>
        <v>0</v>
      </c>
      <c r="AH33" s="20" t="s">
        <v>311</v>
      </c>
      <c r="AI33" s="14">
        <f>IF(AM33=0,K33,0)</f>
        <v>0</v>
      </c>
      <c r="AJ33" s="14">
        <f>IF(AM33=15,K33,0)</f>
        <v>0</v>
      </c>
      <c r="AK33" s="14">
        <f>IF(AM33=21,K33,0)</f>
        <v>0</v>
      </c>
      <c r="AM33" s="21">
        <v>15</v>
      </c>
      <c r="AN33" s="21">
        <f>H33*0</f>
        <v>0</v>
      </c>
      <c r="AO33" s="21">
        <f>H33*(1-0)</f>
        <v>0</v>
      </c>
      <c r="AP33" s="22" t="s">
        <v>13</v>
      </c>
      <c r="AU33" s="21">
        <f>AV33+AW33</f>
        <v>0</v>
      </c>
      <c r="AV33" s="21">
        <f>G33*AN33</f>
        <v>0</v>
      </c>
      <c r="AW33" s="21">
        <f>G33*AO33</f>
        <v>0</v>
      </c>
      <c r="AX33" s="24" t="s">
        <v>323</v>
      </c>
      <c r="AY33" s="24" t="s">
        <v>338</v>
      </c>
      <c r="AZ33" s="20" t="s">
        <v>353</v>
      </c>
      <c r="BB33" s="21">
        <f>AV33+AW33</f>
        <v>0</v>
      </c>
      <c r="BC33" s="21">
        <f>H33/(100-BD33)*100</f>
        <v>0</v>
      </c>
      <c r="BD33" s="21">
        <v>0</v>
      </c>
      <c r="BE33" s="21">
        <f>33</f>
        <v>33</v>
      </c>
      <c r="BG33" s="14">
        <f>G33*AN33</f>
        <v>0</v>
      </c>
      <c r="BH33" s="14">
        <f>G33*AO33</f>
        <v>0</v>
      </c>
      <c r="BI33" s="14">
        <f>G33*H33</f>
        <v>0</v>
      </c>
      <c r="BJ33" s="14" t="s">
        <v>159</v>
      </c>
      <c r="BK33" s="21">
        <v>776</v>
      </c>
    </row>
    <row r="34" spans="1:63" ht="12.75">
      <c r="A34" s="3" t="s">
        <v>24</v>
      </c>
      <c r="B34" s="9" t="s">
        <v>105</v>
      </c>
      <c r="C34" s="100" t="s">
        <v>191</v>
      </c>
      <c r="D34" s="101"/>
      <c r="E34" s="101"/>
      <c r="F34" s="9" t="s">
        <v>282</v>
      </c>
      <c r="G34" s="14">
        <v>103.7</v>
      </c>
      <c r="H34" s="14">
        <v>0</v>
      </c>
      <c r="I34" s="14">
        <f>G34*AN34</f>
        <v>0</v>
      </c>
      <c r="J34" s="14">
        <f>G34*AO34</f>
        <v>0</v>
      </c>
      <c r="K34" s="14">
        <f>G34*H34</f>
        <v>0</v>
      </c>
      <c r="L34" s="18"/>
      <c r="Y34" s="21">
        <f>IF(AP34="5",BI34,0)</f>
        <v>0</v>
      </c>
      <c r="AA34" s="21">
        <f>IF(AP34="1",BG34,0)</f>
        <v>0</v>
      </c>
      <c r="AB34" s="21">
        <f>IF(AP34="1",BH34,0)</f>
        <v>0</v>
      </c>
      <c r="AC34" s="21">
        <f>IF(AP34="7",BG34,0)</f>
        <v>0</v>
      </c>
      <c r="AD34" s="21">
        <f>IF(AP34="7",BH34,0)</f>
        <v>0</v>
      </c>
      <c r="AE34" s="21">
        <f>IF(AP34="2",BG34,0)</f>
        <v>0</v>
      </c>
      <c r="AF34" s="21">
        <f>IF(AP34="2",BH34,0)</f>
        <v>0</v>
      </c>
      <c r="AG34" s="21">
        <f>IF(AP34="0",BI34,0)</f>
        <v>0</v>
      </c>
      <c r="AH34" s="20" t="s">
        <v>311</v>
      </c>
      <c r="AI34" s="14">
        <f>IF(AM34=0,K34,0)</f>
        <v>0</v>
      </c>
      <c r="AJ34" s="14">
        <f>IF(AM34=15,K34,0)</f>
        <v>0</v>
      </c>
      <c r="AK34" s="14">
        <f>IF(AM34=21,K34,0)</f>
        <v>0</v>
      </c>
      <c r="AM34" s="21">
        <v>15</v>
      </c>
      <c r="AN34" s="21">
        <f>H34*0</f>
        <v>0</v>
      </c>
      <c r="AO34" s="21">
        <f>H34*(1-0)</f>
        <v>0</v>
      </c>
      <c r="AP34" s="22" t="s">
        <v>13</v>
      </c>
      <c r="AU34" s="21">
        <f>AV34+AW34</f>
        <v>0</v>
      </c>
      <c r="AV34" s="21">
        <f>G34*AN34</f>
        <v>0</v>
      </c>
      <c r="AW34" s="21">
        <f>G34*AO34</f>
        <v>0</v>
      </c>
      <c r="AX34" s="24" t="s">
        <v>323</v>
      </c>
      <c r="AY34" s="24" t="s">
        <v>338</v>
      </c>
      <c r="AZ34" s="20" t="s">
        <v>353</v>
      </c>
      <c r="BB34" s="21">
        <f>AV34+AW34</f>
        <v>0</v>
      </c>
      <c r="BC34" s="21">
        <f>H34/(100-BD34)*100</f>
        <v>0</v>
      </c>
      <c r="BD34" s="21">
        <v>0</v>
      </c>
      <c r="BE34" s="21">
        <f>34</f>
        <v>34</v>
      </c>
      <c r="BG34" s="14">
        <f>G34*AN34</f>
        <v>0</v>
      </c>
      <c r="BH34" s="14">
        <f>G34*AO34</f>
        <v>0</v>
      </c>
      <c r="BI34" s="14">
        <f>G34*H34</f>
        <v>0</v>
      </c>
      <c r="BJ34" s="14" t="s">
        <v>159</v>
      </c>
      <c r="BK34" s="21">
        <v>776</v>
      </c>
    </row>
    <row r="35" spans="1:46" ht="12.75">
      <c r="A35" s="2"/>
      <c r="B35" s="8" t="s">
        <v>106</v>
      </c>
      <c r="C35" s="98" t="s">
        <v>192</v>
      </c>
      <c r="D35" s="99"/>
      <c r="E35" s="99"/>
      <c r="F35" s="12" t="s">
        <v>6</v>
      </c>
      <c r="G35" s="12" t="s">
        <v>6</v>
      </c>
      <c r="H35" s="12" t="s">
        <v>6</v>
      </c>
      <c r="I35" s="26">
        <f>SUM(I36:I45)</f>
        <v>0</v>
      </c>
      <c r="J35" s="26">
        <f>SUM(J36:J45)</f>
        <v>0</v>
      </c>
      <c r="K35" s="26">
        <f>SUM(K36:K45)</f>
        <v>0</v>
      </c>
      <c r="L35" s="18"/>
      <c r="AH35" s="20" t="s">
        <v>311</v>
      </c>
      <c r="AR35" s="26">
        <f>SUM(AI36:AI45)</f>
        <v>0</v>
      </c>
      <c r="AS35" s="26">
        <f>SUM(AJ36:AJ45)</f>
        <v>0</v>
      </c>
      <c r="AT35" s="26">
        <f>SUM(AK36:AK45)</f>
        <v>0</v>
      </c>
    </row>
    <row r="36" spans="1:63" ht="12.75">
      <c r="A36" s="3" t="s">
        <v>25</v>
      </c>
      <c r="B36" s="9" t="s">
        <v>107</v>
      </c>
      <c r="C36" s="100" t="s">
        <v>193</v>
      </c>
      <c r="D36" s="101"/>
      <c r="E36" s="101"/>
      <c r="F36" s="9" t="s">
        <v>281</v>
      </c>
      <c r="G36" s="14">
        <v>15</v>
      </c>
      <c r="H36" s="14">
        <v>0</v>
      </c>
      <c r="I36" s="14">
        <f>G36*AN36</f>
        <v>0</v>
      </c>
      <c r="J36" s="14">
        <f>G36*AO36</f>
        <v>0</v>
      </c>
      <c r="K36" s="14">
        <f aca="true" t="shared" si="12" ref="K36:K45">G36*H36</f>
        <v>0</v>
      </c>
      <c r="L36" s="18"/>
      <c r="Y36" s="21">
        <f aca="true" t="shared" si="13" ref="Y36:Y45">IF(AP36="5",BI36,0)</f>
        <v>0</v>
      </c>
      <c r="AA36" s="21">
        <f aca="true" t="shared" si="14" ref="AA36:AA45">IF(AP36="1",BG36,0)</f>
        <v>0</v>
      </c>
      <c r="AB36" s="21">
        <f aca="true" t="shared" si="15" ref="AB36:AB45">IF(AP36="1",BH36,0)</f>
        <v>0</v>
      </c>
      <c r="AC36" s="21">
        <f aca="true" t="shared" si="16" ref="AC36:AC45">IF(AP36="7",BG36,0)</f>
        <v>0</v>
      </c>
      <c r="AD36" s="21">
        <f aca="true" t="shared" si="17" ref="AD36:AD45">IF(AP36="7",BH36,0)</f>
        <v>0</v>
      </c>
      <c r="AE36" s="21">
        <f aca="true" t="shared" si="18" ref="AE36:AE45">IF(AP36="2",BG36,0)</f>
        <v>0</v>
      </c>
      <c r="AF36" s="21">
        <f aca="true" t="shared" si="19" ref="AF36:AF45">IF(AP36="2",BH36,0)</f>
        <v>0</v>
      </c>
      <c r="AG36" s="21">
        <f aca="true" t="shared" si="20" ref="AG36:AG45">IF(AP36="0",BI36,0)</f>
        <v>0</v>
      </c>
      <c r="AH36" s="20" t="s">
        <v>311</v>
      </c>
      <c r="AI36" s="14">
        <f>IF(AM36=0,K36,0)</f>
        <v>0</v>
      </c>
      <c r="AJ36" s="14">
        <f>IF(AM36=15,K36,0)</f>
        <v>0</v>
      </c>
      <c r="AK36" s="14">
        <f>IF(AM36=21,K36,0)</f>
        <v>0</v>
      </c>
      <c r="AM36" s="21">
        <v>15</v>
      </c>
      <c r="AN36" s="21">
        <f>H36*0</f>
        <v>0</v>
      </c>
      <c r="AO36" s="21">
        <f>H36*(1-0)</f>
        <v>0</v>
      </c>
      <c r="AP36" s="22" t="s">
        <v>7</v>
      </c>
      <c r="AU36" s="21">
        <f aca="true" t="shared" si="21" ref="AU36:AU45">AV36+AW36</f>
        <v>0</v>
      </c>
      <c r="AV36" s="21">
        <f>G36*AN36</f>
        <v>0</v>
      </c>
      <c r="AW36" s="21">
        <f>G36*AO36</f>
        <v>0</v>
      </c>
      <c r="AX36" s="24" t="s">
        <v>324</v>
      </c>
      <c r="AY36" s="24" t="s">
        <v>339</v>
      </c>
      <c r="AZ36" s="20" t="s">
        <v>353</v>
      </c>
      <c r="BB36" s="21">
        <f aca="true" t="shared" si="22" ref="BB36:BB45">AV36+AW36</f>
        <v>0</v>
      </c>
      <c r="BC36" s="21">
        <f>H36/(100-BD36)*100</f>
        <v>0</v>
      </c>
      <c r="BD36" s="21">
        <v>0</v>
      </c>
      <c r="BE36" s="21">
        <f>36</f>
        <v>36</v>
      </c>
      <c r="BG36" s="14">
        <f>G36*AN36</f>
        <v>0</v>
      </c>
      <c r="BH36" s="14">
        <f>G36*AO36</f>
        <v>0</v>
      </c>
      <c r="BI36" s="14">
        <f aca="true" t="shared" si="23" ref="BI36:BI45">G36*H36</f>
        <v>0</v>
      </c>
      <c r="BJ36" s="14" t="s">
        <v>159</v>
      </c>
      <c r="BK36" s="21">
        <v>96</v>
      </c>
    </row>
    <row r="37" spans="1:63" ht="12.75">
      <c r="A37" s="3" t="s">
        <v>26</v>
      </c>
      <c r="B37" s="9" t="s">
        <v>108</v>
      </c>
      <c r="C37" s="100" t="s">
        <v>194</v>
      </c>
      <c r="D37" s="101"/>
      <c r="E37" s="101"/>
      <c r="F37" s="9" t="s">
        <v>282</v>
      </c>
      <c r="G37" s="14">
        <v>21.27</v>
      </c>
      <c r="H37" s="14">
        <v>0</v>
      </c>
      <c r="I37" s="14">
        <f>G37*AN37</f>
        <v>0</v>
      </c>
      <c r="J37" s="14">
        <f>G37*AO37</f>
        <v>0</v>
      </c>
      <c r="K37" s="14">
        <f t="shared" si="12"/>
        <v>0</v>
      </c>
      <c r="L37" s="18"/>
      <c r="Y37" s="21">
        <f t="shared" si="13"/>
        <v>0</v>
      </c>
      <c r="AA37" s="21">
        <f t="shared" si="14"/>
        <v>0</v>
      </c>
      <c r="AB37" s="21">
        <f t="shared" si="15"/>
        <v>0</v>
      </c>
      <c r="AC37" s="21">
        <f t="shared" si="16"/>
        <v>0</v>
      </c>
      <c r="AD37" s="21">
        <f t="shared" si="17"/>
        <v>0</v>
      </c>
      <c r="AE37" s="21">
        <f t="shared" si="18"/>
        <v>0</v>
      </c>
      <c r="AF37" s="21">
        <f t="shared" si="19"/>
        <v>0</v>
      </c>
      <c r="AG37" s="21">
        <f t="shared" si="20"/>
        <v>0</v>
      </c>
      <c r="AH37" s="20" t="s">
        <v>311</v>
      </c>
      <c r="AI37" s="14">
        <f>IF(AM37=0,K37,0)</f>
        <v>0</v>
      </c>
      <c r="AJ37" s="14">
        <f>IF(AM37=15,K37,0)</f>
        <v>0</v>
      </c>
      <c r="AK37" s="14">
        <f>IF(AM37=21,K37,0)</f>
        <v>0</v>
      </c>
      <c r="AM37" s="21">
        <v>15</v>
      </c>
      <c r="AN37" s="21">
        <f>H37*0.0714456250148282</f>
        <v>0</v>
      </c>
      <c r="AO37" s="21">
        <f>H37*(1-0.0714456250148282)</f>
        <v>0</v>
      </c>
      <c r="AP37" s="22" t="s">
        <v>7</v>
      </c>
      <c r="AU37" s="21">
        <f t="shared" si="21"/>
        <v>0</v>
      </c>
      <c r="AV37" s="21">
        <f>G37*AN37</f>
        <v>0</v>
      </c>
      <c r="AW37" s="21">
        <f>G37*AO37</f>
        <v>0</v>
      </c>
      <c r="AX37" s="24" t="s">
        <v>324</v>
      </c>
      <c r="AY37" s="24" t="s">
        <v>339</v>
      </c>
      <c r="AZ37" s="20" t="s">
        <v>353</v>
      </c>
      <c r="BB37" s="21">
        <f t="shared" si="22"/>
        <v>0</v>
      </c>
      <c r="BC37" s="21">
        <f>H37/(100-BD37)*100</f>
        <v>0</v>
      </c>
      <c r="BD37" s="21">
        <v>0</v>
      </c>
      <c r="BE37" s="21">
        <f>37</f>
        <v>37</v>
      </c>
      <c r="BG37" s="14">
        <f>G37*AN37</f>
        <v>0</v>
      </c>
      <c r="BH37" s="14">
        <f>G37*AO37</f>
        <v>0</v>
      </c>
      <c r="BI37" s="14">
        <f t="shared" si="23"/>
        <v>0</v>
      </c>
      <c r="BJ37" s="14" t="s">
        <v>159</v>
      </c>
      <c r="BK37" s="21">
        <v>96</v>
      </c>
    </row>
    <row r="38" spans="1:63" ht="12.75">
      <c r="A38" s="3" t="s">
        <v>27</v>
      </c>
      <c r="B38" s="9" t="s">
        <v>109</v>
      </c>
      <c r="C38" s="100" t="s">
        <v>195</v>
      </c>
      <c r="D38" s="101"/>
      <c r="E38" s="101"/>
      <c r="F38" s="9" t="s">
        <v>282</v>
      </c>
      <c r="G38" s="14">
        <v>99</v>
      </c>
      <c r="H38" s="14">
        <v>0</v>
      </c>
      <c r="I38" s="14">
        <f>G38*AN38</f>
        <v>0</v>
      </c>
      <c r="J38" s="14">
        <f>G38*AO38</f>
        <v>0</v>
      </c>
      <c r="K38" s="14">
        <f t="shared" si="12"/>
        <v>0</v>
      </c>
      <c r="L38" s="18"/>
      <c r="Y38" s="21">
        <f t="shared" si="13"/>
        <v>0</v>
      </c>
      <c r="AA38" s="21">
        <f t="shared" si="14"/>
        <v>0</v>
      </c>
      <c r="AB38" s="21">
        <f t="shared" si="15"/>
        <v>0</v>
      </c>
      <c r="AC38" s="21">
        <f t="shared" si="16"/>
        <v>0</v>
      </c>
      <c r="AD38" s="21">
        <f t="shared" si="17"/>
        <v>0</v>
      </c>
      <c r="AE38" s="21">
        <f t="shared" si="18"/>
        <v>0</v>
      </c>
      <c r="AF38" s="21">
        <f t="shared" si="19"/>
        <v>0</v>
      </c>
      <c r="AG38" s="21">
        <f t="shared" si="20"/>
        <v>0</v>
      </c>
      <c r="AH38" s="20" t="s">
        <v>311</v>
      </c>
      <c r="AI38" s="14">
        <f>IF(AM38=0,K38,0)</f>
        <v>0</v>
      </c>
      <c r="AJ38" s="14">
        <f>IF(AM38=15,K38,0)</f>
        <v>0</v>
      </c>
      <c r="AK38" s="14">
        <f>IF(AM38=21,K38,0)</f>
        <v>0</v>
      </c>
      <c r="AM38" s="21">
        <v>15</v>
      </c>
      <c r="AN38" s="21">
        <f>H38*0</f>
        <v>0</v>
      </c>
      <c r="AO38" s="21">
        <f>H38*(1-0)</f>
        <v>0</v>
      </c>
      <c r="AP38" s="22" t="s">
        <v>7</v>
      </c>
      <c r="AU38" s="21">
        <f t="shared" si="21"/>
        <v>0</v>
      </c>
      <c r="AV38" s="21">
        <f>G38*AN38</f>
        <v>0</v>
      </c>
      <c r="AW38" s="21">
        <f>G38*AO38</f>
        <v>0</v>
      </c>
      <c r="AX38" s="24" t="s">
        <v>324</v>
      </c>
      <c r="AY38" s="24" t="s">
        <v>339</v>
      </c>
      <c r="AZ38" s="20" t="s">
        <v>353</v>
      </c>
      <c r="BB38" s="21">
        <f t="shared" si="22"/>
        <v>0</v>
      </c>
      <c r="BC38" s="21">
        <f>H38/(100-BD38)*100</f>
        <v>0</v>
      </c>
      <c r="BD38" s="21">
        <v>0</v>
      </c>
      <c r="BE38" s="21">
        <f>38</f>
        <v>38</v>
      </c>
      <c r="BG38" s="14">
        <f>G38*AN38</f>
        <v>0</v>
      </c>
      <c r="BH38" s="14">
        <f>G38*AO38</f>
        <v>0</v>
      </c>
      <c r="BI38" s="14">
        <f t="shared" si="23"/>
        <v>0</v>
      </c>
      <c r="BJ38" s="14" t="s">
        <v>159</v>
      </c>
      <c r="BK38" s="21">
        <v>96</v>
      </c>
    </row>
    <row r="39" spans="1:63" ht="12.75">
      <c r="A39" s="3" t="s">
        <v>28</v>
      </c>
      <c r="B39" s="9" t="s">
        <v>110</v>
      </c>
      <c r="C39" s="100" t="s">
        <v>196</v>
      </c>
      <c r="D39" s="101"/>
      <c r="E39" s="101"/>
      <c r="F39" s="9" t="s">
        <v>282</v>
      </c>
      <c r="G39" s="14">
        <v>49.5</v>
      </c>
      <c r="H39" s="14">
        <v>0</v>
      </c>
      <c r="I39" s="14">
        <f>G39*AN39</f>
        <v>0</v>
      </c>
      <c r="J39" s="14">
        <f>G39*AO39</f>
        <v>0</v>
      </c>
      <c r="K39" s="14">
        <f t="shared" si="12"/>
        <v>0</v>
      </c>
      <c r="L39" s="18"/>
      <c r="Y39" s="21">
        <f t="shared" si="13"/>
        <v>0</v>
      </c>
      <c r="AA39" s="21">
        <f t="shared" si="14"/>
        <v>0</v>
      </c>
      <c r="AB39" s="21">
        <f t="shared" si="15"/>
        <v>0</v>
      </c>
      <c r="AC39" s="21">
        <f t="shared" si="16"/>
        <v>0</v>
      </c>
      <c r="AD39" s="21">
        <f t="shared" si="17"/>
        <v>0</v>
      </c>
      <c r="AE39" s="21">
        <f t="shared" si="18"/>
        <v>0</v>
      </c>
      <c r="AF39" s="21">
        <f t="shared" si="19"/>
        <v>0</v>
      </c>
      <c r="AG39" s="21">
        <f t="shared" si="20"/>
        <v>0</v>
      </c>
      <c r="AH39" s="20" t="s">
        <v>311</v>
      </c>
      <c r="AI39" s="14">
        <f>IF(AM39=0,K39,0)</f>
        <v>0</v>
      </c>
      <c r="AJ39" s="14">
        <f>IF(AM39=15,K39,0)</f>
        <v>0</v>
      </c>
      <c r="AK39" s="14">
        <f>IF(AM39=21,K39,0)</f>
        <v>0</v>
      </c>
      <c r="AM39" s="21">
        <v>15</v>
      </c>
      <c r="AN39" s="21">
        <f>H39*0.188191881918819</f>
        <v>0</v>
      </c>
      <c r="AO39" s="21">
        <f>H39*(1-0.188191881918819)</f>
        <v>0</v>
      </c>
      <c r="AP39" s="22" t="s">
        <v>7</v>
      </c>
      <c r="AU39" s="21">
        <f t="shared" si="21"/>
        <v>0</v>
      </c>
      <c r="AV39" s="21">
        <f>G39*AN39</f>
        <v>0</v>
      </c>
      <c r="AW39" s="21">
        <f>G39*AO39</f>
        <v>0</v>
      </c>
      <c r="AX39" s="24" t="s">
        <v>324</v>
      </c>
      <c r="AY39" s="24" t="s">
        <v>339</v>
      </c>
      <c r="AZ39" s="20" t="s">
        <v>353</v>
      </c>
      <c r="BB39" s="21">
        <f t="shared" si="22"/>
        <v>0</v>
      </c>
      <c r="BC39" s="21">
        <f>H39/(100-BD39)*100</f>
        <v>0</v>
      </c>
      <c r="BD39" s="21">
        <v>0</v>
      </c>
      <c r="BE39" s="21">
        <f>39</f>
        <v>39</v>
      </c>
      <c r="BG39" s="14">
        <f>G39*AN39</f>
        <v>0</v>
      </c>
      <c r="BH39" s="14">
        <f>G39*AO39</f>
        <v>0</v>
      </c>
      <c r="BI39" s="14">
        <f t="shared" si="23"/>
        <v>0</v>
      </c>
      <c r="BJ39" s="14" t="s">
        <v>159</v>
      </c>
      <c r="BK39" s="21">
        <v>96</v>
      </c>
    </row>
    <row r="40" spans="1:63" ht="12.75">
      <c r="A40" s="3" t="s">
        <v>29</v>
      </c>
      <c r="B40" s="9" t="s">
        <v>111</v>
      </c>
      <c r="C40" s="100" t="s">
        <v>197</v>
      </c>
      <c r="D40" s="101"/>
      <c r="E40" s="101"/>
      <c r="F40" s="9" t="s">
        <v>282</v>
      </c>
      <c r="G40" s="14">
        <v>1.2</v>
      </c>
      <c r="H40" s="14">
        <v>0</v>
      </c>
      <c r="I40" s="14">
        <f>G40*AN40</f>
        <v>0</v>
      </c>
      <c r="J40" s="14">
        <f>G40*AO40</f>
        <v>0</v>
      </c>
      <c r="K40" s="14">
        <f t="shared" si="12"/>
        <v>0</v>
      </c>
      <c r="L40" s="18"/>
      <c r="Y40" s="21">
        <f t="shared" si="13"/>
        <v>0</v>
      </c>
      <c r="AA40" s="21">
        <f t="shared" si="14"/>
        <v>0</v>
      </c>
      <c r="AB40" s="21">
        <f t="shared" si="15"/>
        <v>0</v>
      </c>
      <c r="AC40" s="21">
        <f t="shared" si="16"/>
        <v>0</v>
      </c>
      <c r="AD40" s="21">
        <f t="shared" si="17"/>
        <v>0</v>
      </c>
      <c r="AE40" s="21">
        <f t="shared" si="18"/>
        <v>0</v>
      </c>
      <c r="AF40" s="21">
        <f t="shared" si="19"/>
        <v>0</v>
      </c>
      <c r="AG40" s="21">
        <f t="shared" si="20"/>
        <v>0</v>
      </c>
      <c r="AH40" s="20" t="s">
        <v>311</v>
      </c>
      <c r="AI40" s="14">
        <f>IF(AM40=0,K40,0)</f>
        <v>0</v>
      </c>
      <c r="AJ40" s="14">
        <f>IF(AM40=15,K40,0)</f>
        <v>0</v>
      </c>
      <c r="AK40" s="14">
        <f>IF(AM40=21,K40,0)</f>
        <v>0</v>
      </c>
      <c r="AM40" s="21">
        <v>15</v>
      </c>
      <c r="AN40" s="21">
        <f>H40*0.0435028248587571</f>
        <v>0</v>
      </c>
      <c r="AO40" s="21">
        <f>H40*(1-0.0435028248587571)</f>
        <v>0</v>
      </c>
      <c r="AP40" s="22" t="s">
        <v>7</v>
      </c>
      <c r="AU40" s="21">
        <f t="shared" si="21"/>
        <v>0</v>
      </c>
      <c r="AV40" s="21">
        <f>G40*AN40</f>
        <v>0</v>
      </c>
      <c r="AW40" s="21">
        <f>G40*AO40</f>
        <v>0</v>
      </c>
      <c r="AX40" s="24" t="s">
        <v>324</v>
      </c>
      <c r="AY40" s="24" t="s">
        <v>339</v>
      </c>
      <c r="AZ40" s="20" t="s">
        <v>353</v>
      </c>
      <c r="BB40" s="21">
        <f t="shared" si="22"/>
        <v>0</v>
      </c>
      <c r="BC40" s="21">
        <f>H40/(100-BD40)*100</f>
        <v>0</v>
      </c>
      <c r="BD40" s="21">
        <v>0</v>
      </c>
      <c r="BE40" s="21">
        <f>40</f>
        <v>40</v>
      </c>
      <c r="BG40" s="14">
        <f>G40*AN40</f>
        <v>0</v>
      </c>
      <c r="BH40" s="14">
        <f>G40*AO40</f>
        <v>0</v>
      </c>
      <c r="BI40" s="14">
        <f t="shared" si="23"/>
        <v>0</v>
      </c>
      <c r="BJ40" s="14" t="s">
        <v>159</v>
      </c>
      <c r="BK40" s="21">
        <v>96</v>
      </c>
    </row>
    <row r="41" spans="1:63" ht="12.75">
      <c r="A41" s="3" t="s">
        <v>30</v>
      </c>
      <c r="B41" s="9" t="s">
        <v>112</v>
      </c>
      <c r="C41" s="100" t="s">
        <v>198</v>
      </c>
      <c r="D41" s="101"/>
      <c r="E41" s="101"/>
      <c r="F41" s="9" t="s">
        <v>282</v>
      </c>
      <c r="G41" s="14">
        <v>60.15</v>
      </c>
      <c r="H41" s="14">
        <v>0</v>
      </c>
      <c r="I41" s="14">
        <f>G41*AN41</f>
        <v>0</v>
      </c>
      <c r="J41" s="14">
        <f>G41*AO41</f>
        <v>0</v>
      </c>
      <c r="K41" s="14">
        <f t="shared" si="12"/>
        <v>0</v>
      </c>
      <c r="L41" s="18"/>
      <c r="Y41" s="21">
        <f t="shared" si="13"/>
        <v>0</v>
      </c>
      <c r="AA41" s="21">
        <f t="shared" si="14"/>
        <v>0</v>
      </c>
      <c r="AB41" s="21">
        <f t="shared" si="15"/>
        <v>0</v>
      </c>
      <c r="AC41" s="21">
        <f t="shared" si="16"/>
        <v>0</v>
      </c>
      <c r="AD41" s="21">
        <f t="shared" si="17"/>
        <v>0</v>
      </c>
      <c r="AE41" s="21">
        <f t="shared" si="18"/>
        <v>0</v>
      </c>
      <c r="AF41" s="21">
        <f t="shared" si="19"/>
        <v>0</v>
      </c>
      <c r="AG41" s="21">
        <f t="shared" si="20"/>
        <v>0</v>
      </c>
      <c r="AH41" s="20" t="s">
        <v>311</v>
      </c>
      <c r="AI41" s="14">
        <f>IF(AM41=0,K41,0)</f>
        <v>0</v>
      </c>
      <c r="AJ41" s="14">
        <f>IF(AM41=15,K41,0)</f>
        <v>0</v>
      </c>
      <c r="AK41" s="14">
        <f>IF(AM41=21,K41,0)</f>
        <v>0</v>
      </c>
      <c r="AM41" s="21">
        <v>15</v>
      </c>
      <c r="AN41" s="21">
        <f>H41*0</f>
        <v>0</v>
      </c>
      <c r="AO41" s="21">
        <f>H41*(1-0)</f>
        <v>0</v>
      </c>
      <c r="AP41" s="22" t="s">
        <v>7</v>
      </c>
      <c r="AU41" s="21">
        <f t="shared" si="21"/>
        <v>0</v>
      </c>
      <c r="AV41" s="21">
        <f>G41*AN41</f>
        <v>0</v>
      </c>
      <c r="AW41" s="21">
        <f>G41*AO41</f>
        <v>0</v>
      </c>
      <c r="AX41" s="24" t="s">
        <v>324</v>
      </c>
      <c r="AY41" s="24" t="s">
        <v>339</v>
      </c>
      <c r="AZ41" s="20" t="s">
        <v>353</v>
      </c>
      <c r="BB41" s="21">
        <f t="shared" si="22"/>
        <v>0</v>
      </c>
      <c r="BC41" s="21">
        <f>H41/(100-BD41)*100</f>
        <v>0</v>
      </c>
      <c r="BD41" s="21">
        <v>0</v>
      </c>
      <c r="BE41" s="21">
        <f>41</f>
        <v>41</v>
      </c>
      <c r="BG41" s="14">
        <f>G41*AN41</f>
        <v>0</v>
      </c>
      <c r="BH41" s="14">
        <f>G41*AO41</f>
        <v>0</v>
      </c>
      <c r="BI41" s="14">
        <f t="shared" si="23"/>
        <v>0</v>
      </c>
      <c r="BJ41" s="14" t="s">
        <v>159</v>
      </c>
      <c r="BK41" s="21">
        <v>96</v>
      </c>
    </row>
    <row r="42" spans="1:63" ht="12.75">
      <c r="A42" s="3" t="s">
        <v>31</v>
      </c>
      <c r="B42" s="9" t="s">
        <v>113</v>
      </c>
      <c r="C42" s="100" t="s">
        <v>199</v>
      </c>
      <c r="D42" s="101"/>
      <c r="E42" s="101"/>
      <c r="F42" s="9" t="s">
        <v>282</v>
      </c>
      <c r="G42" s="14">
        <v>32.76</v>
      </c>
      <c r="H42" s="14">
        <v>0</v>
      </c>
      <c r="I42" s="14">
        <f>G42*AN42</f>
        <v>0</v>
      </c>
      <c r="J42" s="14">
        <f>G42*AO42</f>
        <v>0</v>
      </c>
      <c r="K42" s="14">
        <f t="shared" si="12"/>
        <v>0</v>
      </c>
      <c r="L42" s="18"/>
      <c r="Y42" s="21">
        <f t="shared" si="13"/>
        <v>0</v>
      </c>
      <c r="AA42" s="21">
        <f t="shared" si="14"/>
        <v>0</v>
      </c>
      <c r="AB42" s="21">
        <f t="shared" si="15"/>
        <v>0</v>
      </c>
      <c r="AC42" s="21">
        <f t="shared" si="16"/>
        <v>0</v>
      </c>
      <c r="AD42" s="21">
        <f t="shared" si="17"/>
        <v>0</v>
      </c>
      <c r="AE42" s="21">
        <f t="shared" si="18"/>
        <v>0</v>
      </c>
      <c r="AF42" s="21">
        <f t="shared" si="19"/>
        <v>0</v>
      </c>
      <c r="AG42" s="21">
        <f t="shared" si="20"/>
        <v>0</v>
      </c>
      <c r="AH42" s="20" t="s">
        <v>311</v>
      </c>
      <c r="AI42" s="14">
        <f>IF(AM42=0,K42,0)</f>
        <v>0</v>
      </c>
      <c r="AJ42" s="14">
        <f>IF(AM42=15,K42,0)</f>
        <v>0</v>
      </c>
      <c r="AK42" s="14">
        <f>IF(AM42=21,K42,0)</f>
        <v>0</v>
      </c>
      <c r="AM42" s="21">
        <v>15</v>
      </c>
      <c r="AN42" s="21">
        <f>H42*0</f>
        <v>0</v>
      </c>
      <c r="AO42" s="21">
        <f>H42*(1-0)</f>
        <v>0</v>
      </c>
      <c r="AP42" s="22" t="s">
        <v>7</v>
      </c>
      <c r="AU42" s="21">
        <f t="shared" si="21"/>
        <v>0</v>
      </c>
      <c r="AV42" s="21">
        <f>G42*AN42</f>
        <v>0</v>
      </c>
      <c r="AW42" s="21">
        <f>G42*AO42</f>
        <v>0</v>
      </c>
      <c r="AX42" s="24" t="s">
        <v>324</v>
      </c>
      <c r="AY42" s="24" t="s">
        <v>339</v>
      </c>
      <c r="AZ42" s="20" t="s">
        <v>353</v>
      </c>
      <c r="BB42" s="21">
        <f t="shared" si="22"/>
        <v>0</v>
      </c>
      <c r="BC42" s="21">
        <f>H42/(100-BD42)*100</f>
        <v>0</v>
      </c>
      <c r="BD42" s="21">
        <v>0</v>
      </c>
      <c r="BE42" s="21">
        <f>42</f>
        <v>42</v>
      </c>
      <c r="BG42" s="14">
        <f>G42*AN42</f>
        <v>0</v>
      </c>
      <c r="BH42" s="14">
        <f>G42*AO42</f>
        <v>0</v>
      </c>
      <c r="BI42" s="14">
        <f t="shared" si="23"/>
        <v>0</v>
      </c>
      <c r="BJ42" s="14" t="s">
        <v>159</v>
      </c>
      <c r="BK42" s="21">
        <v>96</v>
      </c>
    </row>
    <row r="43" spans="1:63" ht="12.75">
      <c r="A43" s="3" t="s">
        <v>32</v>
      </c>
      <c r="B43" s="9" t="s">
        <v>114</v>
      </c>
      <c r="C43" s="100" t="s">
        <v>200</v>
      </c>
      <c r="D43" s="101"/>
      <c r="E43" s="101"/>
      <c r="F43" s="9" t="s">
        <v>283</v>
      </c>
      <c r="G43" s="14">
        <v>2.739</v>
      </c>
      <c r="H43" s="14">
        <v>0</v>
      </c>
      <c r="I43" s="14">
        <f>G43*AN43</f>
        <v>0</v>
      </c>
      <c r="J43" s="14">
        <f>G43*AO43</f>
        <v>0</v>
      </c>
      <c r="K43" s="14">
        <f t="shared" si="12"/>
        <v>0</v>
      </c>
      <c r="L43" s="18"/>
      <c r="Y43" s="21">
        <f t="shared" si="13"/>
        <v>0</v>
      </c>
      <c r="AA43" s="21">
        <f t="shared" si="14"/>
        <v>0</v>
      </c>
      <c r="AB43" s="21">
        <f t="shared" si="15"/>
        <v>0</v>
      </c>
      <c r="AC43" s="21">
        <f t="shared" si="16"/>
        <v>0</v>
      </c>
      <c r="AD43" s="21">
        <f t="shared" si="17"/>
        <v>0</v>
      </c>
      <c r="AE43" s="21">
        <f t="shared" si="18"/>
        <v>0</v>
      </c>
      <c r="AF43" s="21">
        <f t="shared" si="19"/>
        <v>0</v>
      </c>
      <c r="AG43" s="21">
        <f t="shared" si="20"/>
        <v>0</v>
      </c>
      <c r="AH43" s="20" t="s">
        <v>311</v>
      </c>
      <c r="AI43" s="14">
        <f>IF(AM43=0,K43,0)</f>
        <v>0</v>
      </c>
      <c r="AJ43" s="14">
        <f>IF(AM43=15,K43,0)</f>
        <v>0</v>
      </c>
      <c r="AK43" s="14">
        <f>IF(AM43=21,K43,0)</f>
        <v>0</v>
      </c>
      <c r="AM43" s="21">
        <v>15</v>
      </c>
      <c r="AN43" s="21">
        <f>H43*0</f>
        <v>0</v>
      </c>
      <c r="AO43" s="21">
        <f>H43*(1-0)</f>
        <v>0</v>
      </c>
      <c r="AP43" s="22" t="s">
        <v>7</v>
      </c>
      <c r="AU43" s="21">
        <f t="shared" si="21"/>
        <v>0</v>
      </c>
      <c r="AV43" s="21">
        <f>G43*AN43</f>
        <v>0</v>
      </c>
      <c r="AW43" s="21">
        <f>G43*AO43</f>
        <v>0</v>
      </c>
      <c r="AX43" s="24" t="s">
        <v>324</v>
      </c>
      <c r="AY43" s="24" t="s">
        <v>339</v>
      </c>
      <c r="AZ43" s="20" t="s">
        <v>353</v>
      </c>
      <c r="BB43" s="21">
        <f t="shared" si="22"/>
        <v>0</v>
      </c>
      <c r="BC43" s="21">
        <f>H43/(100-BD43)*100</f>
        <v>0</v>
      </c>
      <c r="BD43" s="21">
        <v>0</v>
      </c>
      <c r="BE43" s="21">
        <f>43</f>
        <v>43</v>
      </c>
      <c r="BG43" s="14">
        <f>G43*AN43</f>
        <v>0</v>
      </c>
      <c r="BH43" s="14">
        <f>G43*AO43</f>
        <v>0</v>
      </c>
      <c r="BI43" s="14">
        <f t="shared" si="23"/>
        <v>0</v>
      </c>
      <c r="BJ43" s="14" t="s">
        <v>159</v>
      </c>
      <c r="BK43" s="21">
        <v>96</v>
      </c>
    </row>
    <row r="44" spans="1:63" ht="12.75">
      <c r="A44" s="3" t="s">
        <v>33</v>
      </c>
      <c r="B44" s="9" t="s">
        <v>115</v>
      </c>
      <c r="C44" s="100" t="s">
        <v>201</v>
      </c>
      <c r="D44" s="101"/>
      <c r="E44" s="101"/>
      <c r="F44" s="9" t="s">
        <v>282</v>
      </c>
      <c r="G44" s="14">
        <v>0.15</v>
      </c>
      <c r="H44" s="14">
        <v>0</v>
      </c>
      <c r="I44" s="14">
        <f>G44*AN44</f>
        <v>0</v>
      </c>
      <c r="J44" s="14">
        <f>G44*AO44</f>
        <v>0</v>
      </c>
      <c r="K44" s="14">
        <f t="shared" si="12"/>
        <v>0</v>
      </c>
      <c r="L44" s="18"/>
      <c r="Y44" s="21">
        <f t="shared" si="13"/>
        <v>0</v>
      </c>
      <c r="AA44" s="21">
        <f t="shared" si="14"/>
        <v>0</v>
      </c>
      <c r="AB44" s="21">
        <f t="shared" si="15"/>
        <v>0</v>
      </c>
      <c r="AC44" s="21">
        <f t="shared" si="16"/>
        <v>0</v>
      </c>
      <c r="AD44" s="21">
        <f t="shared" si="17"/>
        <v>0</v>
      </c>
      <c r="AE44" s="21">
        <f t="shared" si="18"/>
        <v>0</v>
      </c>
      <c r="AF44" s="21">
        <f t="shared" si="19"/>
        <v>0</v>
      </c>
      <c r="AG44" s="21">
        <f t="shared" si="20"/>
        <v>0</v>
      </c>
      <c r="AH44" s="20" t="s">
        <v>311</v>
      </c>
      <c r="AI44" s="14">
        <f>IF(AM44=0,K44,0)</f>
        <v>0</v>
      </c>
      <c r="AJ44" s="14">
        <f>IF(AM44=15,K44,0)</f>
        <v>0</v>
      </c>
      <c r="AK44" s="14">
        <f>IF(AM44=21,K44,0)</f>
        <v>0</v>
      </c>
      <c r="AM44" s="21">
        <v>15</v>
      </c>
      <c r="AN44" s="21">
        <f>H44*0.0309817596566524</f>
        <v>0</v>
      </c>
      <c r="AO44" s="21">
        <f>H44*(1-0.0309817596566524)</f>
        <v>0</v>
      </c>
      <c r="AP44" s="22" t="s">
        <v>7</v>
      </c>
      <c r="AU44" s="21">
        <f t="shared" si="21"/>
        <v>0</v>
      </c>
      <c r="AV44" s="21">
        <f>G44*AN44</f>
        <v>0</v>
      </c>
      <c r="AW44" s="21">
        <f>G44*AO44</f>
        <v>0</v>
      </c>
      <c r="AX44" s="24" t="s">
        <v>324</v>
      </c>
      <c r="AY44" s="24" t="s">
        <v>339</v>
      </c>
      <c r="AZ44" s="20" t="s">
        <v>353</v>
      </c>
      <c r="BB44" s="21">
        <f t="shared" si="22"/>
        <v>0</v>
      </c>
      <c r="BC44" s="21">
        <f>H44/(100-BD44)*100</f>
        <v>0</v>
      </c>
      <c r="BD44" s="21">
        <v>0</v>
      </c>
      <c r="BE44" s="21">
        <f>44</f>
        <v>44</v>
      </c>
      <c r="BG44" s="14">
        <f>G44*AN44</f>
        <v>0</v>
      </c>
      <c r="BH44" s="14">
        <f>G44*AO44</f>
        <v>0</v>
      </c>
      <c r="BI44" s="14">
        <f t="shared" si="23"/>
        <v>0</v>
      </c>
      <c r="BJ44" s="14" t="s">
        <v>159</v>
      </c>
      <c r="BK44" s="21">
        <v>96</v>
      </c>
    </row>
    <row r="45" spans="1:63" ht="12.75">
      <c r="A45" s="3" t="s">
        <v>34</v>
      </c>
      <c r="B45" s="9" t="s">
        <v>116</v>
      </c>
      <c r="C45" s="100" t="s">
        <v>202</v>
      </c>
      <c r="D45" s="101"/>
      <c r="E45" s="101"/>
      <c r="F45" s="9" t="s">
        <v>283</v>
      </c>
      <c r="G45" s="14">
        <v>0.15</v>
      </c>
      <c r="H45" s="14">
        <v>0</v>
      </c>
      <c r="I45" s="14">
        <f>G45*AN45</f>
        <v>0</v>
      </c>
      <c r="J45" s="14">
        <f>G45*AO45</f>
        <v>0</v>
      </c>
      <c r="K45" s="14">
        <f t="shared" si="12"/>
        <v>0</v>
      </c>
      <c r="L45" s="18"/>
      <c r="Y45" s="21">
        <f t="shared" si="13"/>
        <v>0</v>
      </c>
      <c r="AA45" s="21">
        <f t="shared" si="14"/>
        <v>0</v>
      </c>
      <c r="AB45" s="21">
        <f t="shared" si="15"/>
        <v>0</v>
      </c>
      <c r="AC45" s="21">
        <f t="shared" si="16"/>
        <v>0</v>
      </c>
      <c r="AD45" s="21">
        <f t="shared" si="17"/>
        <v>0</v>
      </c>
      <c r="AE45" s="21">
        <f t="shared" si="18"/>
        <v>0</v>
      </c>
      <c r="AF45" s="21">
        <f t="shared" si="19"/>
        <v>0</v>
      </c>
      <c r="AG45" s="21">
        <f t="shared" si="20"/>
        <v>0</v>
      </c>
      <c r="AH45" s="20" t="s">
        <v>311</v>
      </c>
      <c r="AI45" s="14">
        <f>IF(AM45=0,K45,0)</f>
        <v>0</v>
      </c>
      <c r="AJ45" s="14">
        <f>IF(AM45=15,K45,0)</f>
        <v>0</v>
      </c>
      <c r="AK45" s="14">
        <f>IF(AM45=21,K45,0)</f>
        <v>0</v>
      </c>
      <c r="AM45" s="21">
        <v>15</v>
      </c>
      <c r="AN45" s="21">
        <f>H45*0</f>
        <v>0</v>
      </c>
      <c r="AO45" s="21">
        <f>H45*(1-0)</f>
        <v>0</v>
      </c>
      <c r="AP45" s="22" t="s">
        <v>7</v>
      </c>
      <c r="AU45" s="21">
        <f t="shared" si="21"/>
        <v>0</v>
      </c>
      <c r="AV45" s="21">
        <f>G45*AN45</f>
        <v>0</v>
      </c>
      <c r="AW45" s="21">
        <f>G45*AO45</f>
        <v>0</v>
      </c>
      <c r="AX45" s="24" t="s">
        <v>324</v>
      </c>
      <c r="AY45" s="24" t="s">
        <v>339</v>
      </c>
      <c r="AZ45" s="20" t="s">
        <v>353</v>
      </c>
      <c r="BB45" s="21">
        <f t="shared" si="22"/>
        <v>0</v>
      </c>
      <c r="BC45" s="21">
        <f>H45/(100-BD45)*100</f>
        <v>0</v>
      </c>
      <c r="BD45" s="21">
        <v>0</v>
      </c>
      <c r="BE45" s="21">
        <f>45</f>
        <v>45</v>
      </c>
      <c r="BG45" s="14">
        <f>G45*AN45</f>
        <v>0</v>
      </c>
      <c r="BH45" s="14">
        <f>G45*AO45</f>
        <v>0</v>
      </c>
      <c r="BI45" s="14">
        <f t="shared" si="23"/>
        <v>0</v>
      </c>
      <c r="BJ45" s="14" t="s">
        <v>159</v>
      </c>
      <c r="BK45" s="21">
        <v>96</v>
      </c>
    </row>
    <row r="46" spans="1:12" ht="12.75">
      <c r="A46" s="65"/>
      <c r="B46" s="66"/>
      <c r="C46" s="104" t="s">
        <v>203</v>
      </c>
      <c r="D46" s="105"/>
      <c r="E46" s="106"/>
      <c r="F46" s="65" t="s">
        <v>6</v>
      </c>
      <c r="G46" s="65" t="s">
        <v>6</v>
      </c>
      <c r="H46" s="65" t="s">
        <v>6</v>
      </c>
      <c r="I46" s="67">
        <f>I47+I49</f>
        <v>0</v>
      </c>
      <c r="J46" s="67">
        <f>J47+J49</f>
        <v>0</v>
      </c>
      <c r="K46" s="67">
        <f>K47+K49</f>
        <v>0</v>
      </c>
      <c r="L46" s="61"/>
    </row>
    <row r="47" spans="1:46" ht="12.75">
      <c r="A47" s="2"/>
      <c r="B47" s="8" t="s">
        <v>101</v>
      </c>
      <c r="C47" s="98" t="s">
        <v>187</v>
      </c>
      <c r="D47" s="99"/>
      <c r="E47" s="99"/>
      <c r="F47" s="12" t="s">
        <v>6</v>
      </c>
      <c r="G47" s="12" t="s">
        <v>6</v>
      </c>
      <c r="H47" s="12" t="s">
        <v>6</v>
      </c>
      <c r="I47" s="26">
        <f>SUM(I48:I48)</f>
        <v>0</v>
      </c>
      <c r="J47" s="26">
        <f>SUM(J48:J48)</f>
        <v>0</v>
      </c>
      <c r="K47" s="26">
        <f>SUM(K48:K48)</f>
        <v>0</v>
      </c>
      <c r="L47" s="18"/>
      <c r="AH47" s="20" t="s">
        <v>312</v>
      </c>
      <c r="AR47" s="26">
        <f>SUM(AI48:AI48)</f>
        <v>0</v>
      </c>
      <c r="AS47" s="26">
        <f>SUM(AJ48:AJ48)</f>
        <v>0</v>
      </c>
      <c r="AT47" s="26">
        <f>SUM(AK48:AK48)</f>
        <v>0</v>
      </c>
    </row>
    <row r="48" spans="1:63" ht="12.75">
      <c r="A48" s="3" t="s">
        <v>35</v>
      </c>
      <c r="B48" s="9" t="s">
        <v>117</v>
      </c>
      <c r="C48" s="100" t="s">
        <v>204</v>
      </c>
      <c r="D48" s="101"/>
      <c r="E48" s="101"/>
      <c r="F48" s="9" t="s">
        <v>284</v>
      </c>
      <c r="G48" s="14">
        <v>24</v>
      </c>
      <c r="H48" s="14">
        <v>0</v>
      </c>
      <c r="I48" s="14">
        <f>G48*AN48</f>
        <v>0</v>
      </c>
      <c r="J48" s="14">
        <f>G48*AO48</f>
        <v>0</v>
      </c>
      <c r="K48" s="14">
        <f>G48*H48</f>
        <v>0</v>
      </c>
      <c r="L48" s="18"/>
      <c r="Y48" s="21">
        <f>IF(AP48="5",BI48,0)</f>
        <v>0</v>
      </c>
      <c r="AA48" s="21">
        <f>IF(AP48="1",BG48,0)</f>
        <v>0</v>
      </c>
      <c r="AB48" s="21">
        <f>IF(AP48="1",BH48,0)</f>
        <v>0</v>
      </c>
      <c r="AC48" s="21">
        <f>IF(AP48="7",BG48,0)</f>
        <v>0</v>
      </c>
      <c r="AD48" s="21">
        <f>IF(AP48="7",BH48,0)</f>
        <v>0</v>
      </c>
      <c r="AE48" s="21">
        <f>IF(AP48="2",BG48,0)</f>
        <v>0</v>
      </c>
      <c r="AF48" s="21">
        <f>IF(AP48="2",BH48,0)</f>
        <v>0</v>
      </c>
      <c r="AG48" s="21">
        <f>IF(AP48="0",BI48,0)</f>
        <v>0</v>
      </c>
      <c r="AH48" s="20" t="s">
        <v>312</v>
      </c>
      <c r="AI48" s="14">
        <f>IF(AM48=0,K48,0)</f>
        <v>0</v>
      </c>
      <c r="AJ48" s="14">
        <f>IF(AM48=15,K48,0)</f>
        <v>0</v>
      </c>
      <c r="AK48" s="14">
        <f>IF(AM48=21,K48,0)</f>
        <v>0</v>
      </c>
      <c r="AM48" s="21">
        <v>15</v>
      </c>
      <c r="AN48" s="21">
        <f>H48*0.330587378826775</f>
        <v>0</v>
      </c>
      <c r="AO48" s="21">
        <f>H48*(1-0.330587378826775)</f>
        <v>0</v>
      </c>
      <c r="AP48" s="22" t="s">
        <v>13</v>
      </c>
      <c r="AU48" s="21">
        <f>AV48+AW48</f>
        <v>0</v>
      </c>
      <c r="AV48" s="21">
        <f>G48*AN48</f>
        <v>0</v>
      </c>
      <c r="AW48" s="21">
        <f>G48*AO48</f>
        <v>0</v>
      </c>
      <c r="AX48" s="24" t="s">
        <v>322</v>
      </c>
      <c r="AY48" s="24" t="s">
        <v>340</v>
      </c>
      <c r="AZ48" s="20" t="s">
        <v>354</v>
      </c>
      <c r="BB48" s="21">
        <f>AV48+AW48</f>
        <v>0</v>
      </c>
      <c r="BC48" s="21">
        <f>H48/(100-BD48)*100</f>
        <v>0</v>
      </c>
      <c r="BD48" s="21">
        <v>0</v>
      </c>
      <c r="BE48" s="21">
        <f>48</f>
        <v>48</v>
      </c>
      <c r="BG48" s="14">
        <f>G48*AN48</f>
        <v>0</v>
      </c>
      <c r="BH48" s="14">
        <f>G48*AO48</f>
        <v>0</v>
      </c>
      <c r="BI48" s="14">
        <f>G48*H48</f>
        <v>0</v>
      </c>
      <c r="BJ48" s="14" t="s">
        <v>159</v>
      </c>
      <c r="BK48" s="21">
        <v>721</v>
      </c>
    </row>
    <row r="49" spans="1:46" ht="12.75">
      <c r="A49" s="2"/>
      <c r="B49" s="8" t="s">
        <v>85</v>
      </c>
      <c r="C49" s="98" t="s">
        <v>170</v>
      </c>
      <c r="D49" s="99"/>
      <c r="E49" s="99"/>
      <c r="F49" s="12" t="s">
        <v>6</v>
      </c>
      <c r="G49" s="12" t="s">
        <v>6</v>
      </c>
      <c r="H49" s="12" t="s">
        <v>6</v>
      </c>
      <c r="I49" s="26">
        <f>SUM(I50:I53)</f>
        <v>0</v>
      </c>
      <c r="J49" s="26">
        <f>SUM(J50:J53)</f>
        <v>0</v>
      </c>
      <c r="K49" s="26">
        <f>SUM(K50:K53)</f>
        <v>0</v>
      </c>
      <c r="L49" s="18"/>
      <c r="AH49" s="20" t="s">
        <v>312</v>
      </c>
      <c r="AR49" s="26">
        <f>SUM(AI50:AI53)</f>
        <v>0</v>
      </c>
      <c r="AS49" s="26">
        <f>SUM(AJ50:AJ53)</f>
        <v>0</v>
      </c>
      <c r="AT49" s="26">
        <f>SUM(AK50:AK53)</f>
        <v>0</v>
      </c>
    </row>
    <row r="50" spans="1:63" ht="12.75">
      <c r="A50" s="3" t="s">
        <v>36</v>
      </c>
      <c r="B50" s="9" t="s">
        <v>118</v>
      </c>
      <c r="C50" s="100" t="s">
        <v>205</v>
      </c>
      <c r="D50" s="101"/>
      <c r="E50" s="101"/>
      <c r="F50" s="9" t="s">
        <v>280</v>
      </c>
      <c r="G50" s="14">
        <v>6</v>
      </c>
      <c r="H50" s="14">
        <v>0</v>
      </c>
      <c r="I50" s="14">
        <f>G50*AN50</f>
        <v>0</v>
      </c>
      <c r="J50" s="14">
        <f>G50*AO50</f>
        <v>0</v>
      </c>
      <c r="K50" s="14">
        <f>G50*H50</f>
        <v>0</v>
      </c>
      <c r="L50" s="18"/>
      <c r="Y50" s="21">
        <f>IF(AP50="5",BI50,0)</f>
        <v>0</v>
      </c>
      <c r="AA50" s="21">
        <f>IF(AP50="1",BG50,0)</f>
        <v>0</v>
      </c>
      <c r="AB50" s="21">
        <f>IF(AP50="1",BH50,0)</f>
        <v>0</v>
      </c>
      <c r="AC50" s="21">
        <f>IF(AP50="7",BG50,0)</f>
        <v>0</v>
      </c>
      <c r="AD50" s="21">
        <f>IF(AP50="7",BH50,0)</f>
        <v>0</v>
      </c>
      <c r="AE50" s="21">
        <f>IF(AP50="2",BG50,0)</f>
        <v>0</v>
      </c>
      <c r="AF50" s="21">
        <f>IF(AP50="2",BH50,0)</f>
        <v>0</v>
      </c>
      <c r="AG50" s="21">
        <f>IF(AP50="0",BI50,0)</f>
        <v>0</v>
      </c>
      <c r="AH50" s="20" t="s">
        <v>312</v>
      </c>
      <c r="AI50" s="14">
        <f>IF(AM50=0,K50,0)</f>
        <v>0</v>
      </c>
      <c r="AJ50" s="14">
        <f>IF(AM50=15,K50,0)</f>
        <v>0</v>
      </c>
      <c r="AK50" s="14">
        <f>IF(AM50=21,K50,0)</f>
        <v>0</v>
      </c>
      <c r="AM50" s="21">
        <v>15</v>
      </c>
      <c r="AN50" s="21">
        <f>H50*0.308042646254784</f>
        <v>0</v>
      </c>
      <c r="AO50" s="21">
        <f>H50*(1-0.308042646254784)</f>
        <v>0</v>
      </c>
      <c r="AP50" s="22" t="s">
        <v>13</v>
      </c>
      <c r="AU50" s="21">
        <f>AV50+AW50</f>
        <v>0</v>
      </c>
      <c r="AV50" s="21">
        <f>G50*AN50</f>
        <v>0</v>
      </c>
      <c r="AW50" s="21">
        <f>G50*AO50</f>
        <v>0</v>
      </c>
      <c r="AX50" s="24" t="s">
        <v>321</v>
      </c>
      <c r="AY50" s="24" t="s">
        <v>340</v>
      </c>
      <c r="AZ50" s="20" t="s">
        <v>354</v>
      </c>
      <c r="BB50" s="21">
        <f>AV50+AW50</f>
        <v>0</v>
      </c>
      <c r="BC50" s="21">
        <f>H50/(100-BD50)*100</f>
        <v>0</v>
      </c>
      <c r="BD50" s="21">
        <v>0</v>
      </c>
      <c r="BE50" s="21">
        <f>50</f>
        <v>50</v>
      </c>
      <c r="BG50" s="14">
        <f>G50*AN50</f>
        <v>0</v>
      </c>
      <c r="BH50" s="14">
        <f>G50*AO50</f>
        <v>0</v>
      </c>
      <c r="BI50" s="14">
        <f>G50*H50</f>
        <v>0</v>
      </c>
      <c r="BJ50" s="14" t="s">
        <v>159</v>
      </c>
      <c r="BK50" s="21">
        <v>725</v>
      </c>
    </row>
    <row r="51" spans="1:63" ht="12.75">
      <c r="A51" s="62" t="s">
        <v>37</v>
      </c>
      <c r="B51" s="63" t="s">
        <v>119</v>
      </c>
      <c r="C51" s="102" t="s">
        <v>206</v>
      </c>
      <c r="D51" s="103"/>
      <c r="E51" s="103"/>
      <c r="F51" s="63" t="s">
        <v>281</v>
      </c>
      <c r="G51" s="64">
        <v>6</v>
      </c>
      <c r="H51" s="64">
        <v>0</v>
      </c>
      <c r="I51" s="64">
        <f>G51*AN51</f>
        <v>0</v>
      </c>
      <c r="J51" s="64">
        <f>G51*AO51</f>
        <v>0</v>
      </c>
      <c r="K51" s="64">
        <f>G51*H51</f>
        <v>0</v>
      </c>
      <c r="L51" s="18"/>
      <c r="Y51" s="21">
        <f>IF(AP51="5",BI51,0)</f>
        <v>0</v>
      </c>
      <c r="AA51" s="21">
        <f>IF(AP51="1",BG51,0)</f>
        <v>0</v>
      </c>
      <c r="AB51" s="21">
        <f>IF(AP51="1",BH51,0)</f>
        <v>0</v>
      </c>
      <c r="AC51" s="21">
        <f>IF(AP51="7",BG51,0)</f>
        <v>0</v>
      </c>
      <c r="AD51" s="21">
        <f>IF(AP51="7",BH51,0)</f>
        <v>0</v>
      </c>
      <c r="AE51" s="21">
        <f>IF(AP51="2",BG51,0)</f>
        <v>0</v>
      </c>
      <c r="AF51" s="21">
        <f>IF(AP51="2",BH51,0)</f>
        <v>0</v>
      </c>
      <c r="AG51" s="21">
        <f>IF(AP51="0",BI51,0)</f>
        <v>0</v>
      </c>
      <c r="AH51" s="20" t="s">
        <v>312</v>
      </c>
      <c r="AI51" s="15">
        <f>IF(AM51=0,K51,0)</f>
        <v>0</v>
      </c>
      <c r="AJ51" s="15">
        <f>IF(AM51=15,K51,0)</f>
        <v>0</v>
      </c>
      <c r="AK51" s="15">
        <f>IF(AM51=21,K51,0)</f>
        <v>0</v>
      </c>
      <c r="AM51" s="21">
        <v>15</v>
      </c>
      <c r="AN51" s="21">
        <f>H51*1</f>
        <v>0</v>
      </c>
      <c r="AO51" s="21">
        <f>H51*(1-1)</f>
        <v>0</v>
      </c>
      <c r="AP51" s="23" t="s">
        <v>13</v>
      </c>
      <c r="AU51" s="21">
        <f>AV51+AW51</f>
        <v>0</v>
      </c>
      <c r="AV51" s="21">
        <f>G51*AN51</f>
        <v>0</v>
      </c>
      <c r="AW51" s="21">
        <f>G51*AO51</f>
        <v>0</v>
      </c>
      <c r="AX51" s="24" t="s">
        <v>321</v>
      </c>
      <c r="AY51" s="24" t="s">
        <v>340</v>
      </c>
      <c r="AZ51" s="20" t="s">
        <v>354</v>
      </c>
      <c r="BB51" s="21">
        <f>AV51+AW51</f>
        <v>0</v>
      </c>
      <c r="BC51" s="21">
        <f>H51/(100-BD51)*100</f>
        <v>0</v>
      </c>
      <c r="BD51" s="21">
        <v>0</v>
      </c>
      <c r="BE51" s="21">
        <f>51</f>
        <v>51</v>
      </c>
      <c r="BG51" s="15">
        <f>G51*AN51</f>
        <v>0</v>
      </c>
      <c r="BH51" s="15">
        <f>G51*AO51</f>
        <v>0</v>
      </c>
      <c r="BI51" s="15">
        <f>G51*H51</f>
        <v>0</v>
      </c>
      <c r="BJ51" s="15" t="s">
        <v>367</v>
      </c>
      <c r="BK51" s="21">
        <v>725</v>
      </c>
    </row>
    <row r="52" spans="1:63" ht="12.75">
      <c r="A52" s="3" t="s">
        <v>38</v>
      </c>
      <c r="B52" s="9" t="s">
        <v>120</v>
      </c>
      <c r="C52" s="100" t="s">
        <v>207</v>
      </c>
      <c r="D52" s="101"/>
      <c r="E52" s="101"/>
      <c r="F52" s="9" t="s">
        <v>280</v>
      </c>
      <c r="G52" s="14">
        <v>3</v>
      </c>
      <c r="H52" s="14">
        <v>0</v>
      </c>
      <c r="I52" s="14">
        <f>G52*AN52</f>
        <v>0</v>
      </c>
      <c r="J52" s="14">
        <f>G52*AO52</f>
        <v>0</v>
      </c>
      <c r="K52" s="14">
        <f>G52*H52</f>
        <v>0</v>
      </c>
      <c r="L52" s="18"/>
      <c r="Y52" s="21">
        <f>IF(AP52="5",BI52,0)</f>
        <v>0</v>
      </c>
      <c r="AA52" s="21">
        <f>IF(AP52="1",BG52,0)</f>
        <v>0</v>
      </c>
      <c r="AB52" s="21">
        <f>IF(AP52="1",BH52,0)</f>
        <v>0</v>
      </c>
      <c r="AC52" s="21">
        <f>IF(AP52="7",BG52,0)</f>
        <v>0</v>
      </c>
      <c r="AD52" s="21">
        <f>IF(AP52="7",BH52,0)</f>
        <v>0</v>
      </c>
      <c r="AE52" s="21">
        <f>IF(AP52="2",BG52,0)</f>
        <v>0</v>
      </c>
      <c r="AF52" s="21">
        <f>IF(AP52="2",BH52,0)</f>
        <v>0</v>
      </c>
      <c r="AG52" s="21">
        <f>IF(AP52="0",BI52,0)</f>
        <v>0</v>
      </c>
      <c r="AH52" s="20" t="s">
        <v>312</v>
      </c>
      <c r="AI52" s="14">
        <f>IF(AM52=0,K52,0)</f>
        <v>0</v>
      </c>
      <c r="AJ52" s="14">
        <f>IF(AM52=15,K52,0)</f>
        <v>0</v>
      </c>
      <c r="AK52" s="14">
        <f>IF(AM52=21,K52,0)</f>
        <v>0</v>
      </c>
      <c r="AM52" s="21">
        <v>15</v>
      </c>
      <c r="AN52" s="21">
        <f>H52*0.0490026954177898</f>
        <v>0</v>
      </c>
      <c r="AO52" s="21">
        <f>H52*(1-0.0490026954177898)</f>
        <v>0</v>
      </c>
      <c r="AP52" s="22" t="s">
        <v>13</v>
      </c>
      <c r="AU52" s="21">
        <f>AV52+AW52</f>
        <v>0</v>
      </c>
      <c r="AV52" s="21">
        <f>G52*AN52</f>
        <v>0</v>
      </c>
      <c r="AW52" s="21">
        <f>G52*AO52</f>
        <v>0</v>
      </c>
      <c r="AX52" s="24" t="s">
        <v>321</v>
      </c>
      <c r="AY52" s="24" t="s">
        <v>340</v>
      </c>
      <c r="AZ52" s="20" t="s">
        <v>354</v>
      </c>
      <c r="BB52" s="21">
        <f>AV52+AW52</f>
        <v>0</v>
      </c>
      <c r="BC52" s="21">
        <f>H52/(100-BD52)*100</f>
        <v>0</v>
      </c>
      <c r="BD52" s="21">
        <v>0</v>
      </c>
      <c r="BE52" s="21">
        <f>52</f>
        <v>52</v>
      </c>
      <c r="BG52" s="14">
        <f>G52*AN52</f>
        <v>0</v>
      </c>
      <c r="BH52" s="14">
        <f>G52*AO52</f>
        <v>0</v>
      </c>
      <c r="BI52" s="14">
        <f>G52*H52</f>
        <v>0</v>
      </c>
      <c r="BJ52" s="14" t="s">
        <v>159</v>
      </c>
      <c r="BK52" s="21">
        <v>725</v>
      </c>
    </row>
    <row r="53" spans="1:63" ht="12.75">
      <c r="A53" s="62" t="s">
        <v>39</v>
      </c>
      <c r="B53" s="63" t="s">
        <v>121</v>
      </c>
      <c r="C53" s="102" t="s">
        <v>208</v>
      </c>
      <c r="D53" s="101"/>
      <c r="E53" s="101"/>
      <c r="F53" s="63" t="s">
        <v>281</v>
      </c>
      <c r="G53" s="64">
        <v>3</v>
      </c>
      <c r="H53" s="64">
        <v>0</v>
      </c>
      <c r="I53" s="64">
        <f>G53*AN53</f>
        <v>0</v>
      </c>
      <c r="J53" s="64">
        <f>G53*AO53</f>
        <v>0</v>
      </c>
      <c r="K53" s="64">
        <f>G53*H53</f>
        <v>0</v>
      </c>
      <c r="L53" s="18"/>
      <c r="Y53" s="21">
        <f>IF(AP53="5",BI53,0)</f>
        <v>0</v>
      </c>
      <c r="AA53" s="21">
        <f>IF(AP53="1",BG53,0)</f>
        <v>0</v>
      </c>
      <c r="AB53" s="21">
        <f>IF(AP53="1",BH53,0)</f>
        <v>0</v>
      </c>
      <c r="AC53" s="21">
        <f>IF(AP53="7",BG53,0)</f>
        <v>0</v>
      </c>
      <c r="AD53" s="21">
        <f>IF(AP53="7",BH53,0)</f>
        <v>0</v>
      </c>
      <c r="AE53" s="21">
        <f>IF(AP53="2",BG53,0)</f>
        <v>0</v>
      </c>
      <c r="AF53" s="21">
        <f>IF(AP53="2",BH53,0)</f>
        <v>0</v>
      </c>
      <c r="AG53" s="21">
        <f>IF(AP53="0",BI53,0)</f>
        <v>0</v>
      </c>
      <c r="AH53" s="20" t="s">
        <v>312</v>
      </c>
      <c r="AI53" s="14">
        <f>IF(AM53=0,K53,0)</f>
        <v>0</v>
      </c>
      <c r="AJ53" s="14">
        <f>IF(AM53=15,K53,0)</f>
        <v>0</v>
      </c>
      <c r="AK53" s="14">
        <f>IF(AM53=21,K53,0)</f>
        <v>0</v>
      </c>
      <c r="AM53" s="21">
        <v>15</v>
      </c>
      <c r="AN53" s="21">
        <f>H53*0.952295285359801</f>
        <v>0</v>
      </c>
      <c r="AO53" s="21">
        <f>H53*(1-0.952295285359801)</f>
        <v>0</v>
      </c>
      <c r="AP53" s="22" t="s">
        <v>13</v>
      </c>
      <c r="AU53" s="21">
        <f>AV53+AW53</f>
        <v>0</v>
      </c>
      <c r="AV53" s="21">
        <f>G53*AN53</f>
        <v>0</v>
      </c>
      <c r="AW53" s="21">
        <f>G53*AO53</f>
        <v>0</v>
      </c>
      <c r="AX53" s="24" t="s">
        <v>321</v>
      </c>
      <c r="AY53" s="24" t="s">
        <v>340</v>
      </c>
      <c r="AZ53" s="20" t="s">
        <v>354</v>
      </c>
      <c r="BB53" s="21">
        <f>AV53+AW53</f>
        <v>0</v>
      </c>
      <c r="BC53" s="21">
        <f>H53/(100-BD53)*100</f>
        <v>0</v>
      </c>
      <c r="BD53" s="21">
        <v>0</v>
      </c>
      <c r="BE53" s="21">
        <f>53</f>
        <v>53</v>
      </c>
      <c r="BG53" s="14">
        <f>G53*AN53</f>
        <v>0</v>
      </c>
      <c r="BH53" s="14">
        <f>G53*AO53</f>
        <v>0</v>
      </c>
      <c r="BI53" s="14">
        <f>G53*H53</f>
        <v>0</v>
      </c>
      <c r="BJ53" s="14" t="s">
        <v>159</v>
      </c>
      <c r="BK53" s="21">
        <v>725</v>
      </c>
    </row>
    <row r="54" spans="1:12" ht="12.75">
      <c r="A54" s="65"/>
      <c r="B54" s="66"/>
      <c r="C54" s="104" t="s">
        <v>209</v>
      </c>
      <c r="D54" s="105"/>
      <c r="E54" s="106"/>
      <c r="F54" s="65" t="s">
        <v>6</v>
      </c>
      <c r="G54" s="65" t="s">
        <v>6</v>
      </c>
      <c r="H54" s="65" t="s">
        <v>6</v>
      </c>
      <c r="I54" s="67">
        <f>I55+I57+I59+I61</f>
        <v>0</v>
      </c>
      <c r="J54" s="67">
        <f>J55+J57+J59+J61</f>
        <v>0</v>
      </c>
      <c r="K54" s="67">
        <f>K55+K57+K59+K61</f>
        <v>0</v>
      </c>
      <c r="L54" s="61"/>
    </row>
    <row r="55" spans="1:46" ht="12.75">
      <c r="A55" s="2"/>
      <c r="B55" s="8" t="s">
        <v>40</v>
      </c>
      <c r="C55" s="98" t="s">
        <v>210</v>
      </c>
      <c r="D55" s="99"/>
      <c r="E55" s="99"/>
      <c r="F55" s="12" t="s">
        <v>6</v>
      </c>
      <c r="G55" s="12" t="s">
        <v>6</v>
      </c>
      <c r="H55" s="12" t="s">
        <v>6</v>
      </c>
      <c r="I55" s="26">
        <f>SUM(I56:I56)</f>
        <v>0</v>
      </c>
      <c r="J55" s="26">
        <f>SUM(J56:J56)</f>
        <v>0</v>
      </c>
      <c r="K55" s="26">
        <f>SUM(K56:K56)</f>
        <v>0</v>
      </c>
      <c r="L55" s="18"/>
      <c r="AH55" s="20" t="s">
        <v>313</v>
      </c>
      <c r="AR55" s="26">
        <f>SUM(AI56:AI56)</f>
        <v>0</v>
      </c>
      <c r="AS55" s="26">
        <f>SUM(AJ56:AJ56)</f>
        <v>0</v>
      </c>
      <c r="AT55" s="26">
        <f>SUM(AK56:AK56)</f>
        <v>0</v>
      </c>
    </row>
    <row r="56" spans="1:63" ht="12.75">
      <c r="A56" s="3" t="s">
        <v>40</v>
      </c>
      <c r="B56" s="9" t="s">
        <v>122</v>
      </c>
      <c r="C56" s="100" t="s">
        <v>211</v>
      </c>
      <c r="D56" s="101"/>
      <c r="E56" s="101"/>
      <c r="F56" s="9" t="s">
        <v>282</v>
      </c>
      <c r="G56" s="14">
        <v>1.2</v>
      </c>
      <c r="H56" s="14">
        <v>0</v>
      </c>
      <c r="I56" s="14">
        <f>G56*AN56</f>
        <v>0</v>
      </c>
      <c r="J56" s="14">
        <f>G56*AO56</f>
        <v>0</v>
      </c>
      <c r="K56" s="14">
        <f>G56*H56</f>
        <v>0</v>
      </c>
      <c r="L56" s="18"/>
      <c r="Y56" s="21">
        <f>IF(AP56="5",BI56,0)</f>
        <v>0</v>
      </c>
      <c r="AA56" s="21">
        <f>IF(AP56="1",BG56,0)</f>
        <v>0</v>
      </c>
      <c r="AB56" s="21">
        <f>IF(AP56="1",BH56,0)</f>
        <v>0</v>
      </c>
      <c r="AC56" s="21">
        <f>IF(AP56="7",BG56,0)</f>
        <v>0</v>
      </c>
      <c r="AD56" s="21">
        <f>IF(AP56="7",BH56,0)</f>
        <v>0</v>
      </c>
      <c r="AE56" s="21">
        <f>IF(AP56="2",BG56,0)</f>
        <v>0</v>
      </c>
      <c r="AF56" s="21">
        <f>IF(AP56="2",BH56,0)</f>
        <v>0</v>
      </c>
      <c r="AG56" s="21">
        <f>IF(AP56="0",BI56,0)</f>
        <v>0</v>
      </c>
      <c r="AH56" s="20" t="s">
        <v>313</v>
      </c>
      <c r="AI56" s="14">
        <f>IF(AM56=0,K56,0)</f>
        <v>0</v>
      </c>
      <c r="AJ56" s="14">
        <f>IF(AM56=15,K56,0)</f>
        <v>0</v>
      </c>
      <c r="AK56" s="14">
        <f>IF(AM56=21,K56,0)</f>
        <v>0</v>
      </c>
      <c r="AM56" s="21">
        <v>15</v>
      </c>
      <c r="AN56" s="21">
        <f>H56*0.801162142368468</f>
        <v>0</v>
      </c>
      <c r="AO56" s="21">
        <f>H56*(1-0.801162142368468)</f>
        <v>0</v>
      </c>
      <c r="AP56" s="22" t="s">
        <v>7</v>
      </c>
      <c r="AU56" s="21">
        <f>AV56+AW56</f>
        <v>0</v>
      </c>
      <c r="AV56" s="21">
        <f>G56*AN56</f>
        <v>0</v>
      </c>
      <c r="AW56" s="21">
        <f>G56*AO56</f>
        <v>0</v>
      </c>
      <c r="AX56" s="24" t="s">
        <v>325</v>
      </c>
      <c r="AY56" s="24" t="s">
        <v>341</v>
      </c>
      <c r="AZ56" s="20" t="s">
        <v>355</v>
      </c>
      <c r="BB56" s="21">
        <f>AV56+AW56</f>
        <v>0</v>
      </c>
      <c r="BC56" s="21">
        <f>H56/(100-BD56)*100</f>
        <v>0</v>
      </c>
      <c r="BD56" s="21">
        <v>0</v>
      </c>
      <c r="BE56" s="21">
        <f>56</f>
        <v>56</v>
      </c>
      <c r="BG56" s="14">
        <f>G56*AN56</f>
        <v>0</v>
      </c>
      <c r="BH56" s="14">
        <f>G56*AO56</f>
        <v>0</v>
      </c>
      <c r="BI56" s="14">
        <f>G56*H56</f>
        <v>0</v>
      </c>
      <c r="BJ56" s="14" t="s">
        <v>159</v>
      </c>
      <c r="BK56" s="21">
        <v>34</v>
      </c>
    </row>
    <row r="57" spans="1:46" ht="12.75">
      <c r="A57" s="2"/>
      <c r="B57" s="8" t="s">
        <v>66</v>
      </c>
      <c r="C57" s="98" t="s">
        <v>212</v>
      </c>
      <c r="D57" s="99"/>
      <c r="E57" s="99"/>
      <c r="F57" s="12" t="s">
        <v>6</v>
      </c>
      <c r="G57" s="12" t="s">
        <v>6</v>
      </c>
      <c r="H57" s="12" t="s">
        <v>6</v>
      </c>
      <c r="I57" s="26">
        <f>SUM(I58:I58)</f>
        <v>0</v>
      </c>
      <c r="J57" s="26">
        <f>SUM(J58:J58)</f>
        <v>0</v>
      </c>
      <c r="K57" s="26">
        <f>SUM(K58:K58)</f>
        <v>0</v>
      </c>
      <c r="L57" s="18"/>
      <c r="AH57" s="20" t="s">
        <v>313</v>
      </c>
      <c r="AR57" s="26">
        <f>SUM(AI58:AI58)</f>
        <v>0</v>
      </c>
      <c r="AS57" s="26">
        <f>SUM(AJ58:AJ58)</f>
        <v>0</v>
      </c>
      <c r="AT57" s="26">
        <f>SUM(AK58:AK58)</f>
        <v>0</v>
      </c>
    </row>
    <row r="58" spans="1:63" ht="12.75">
      <c r="A58" s="3" t="s">
        <v>41</v>
      </c>
      <c r="B58" s="9" t="s">
        <v>123</v>
      </c>
      <c r="C58" s="100" t="s">
        <v>213</v>
      </c>
      <c r="D58" s="101"/>
      <c r="E58" s="101"/>
      <c r="F58" s="9" t="s">
        <v>282</v>
      </c>
      <c r="G58" s="14">
        <v>19.8</v>
      </c>
      <c r="H58" s="14">
        <v>0</v>
      </c>
      <c r="I58" s="14">
        <f>G58*AN58</f>
        <v>0</v>
      </c>
      <c r="J58" s="14">
        <f>G58*AO58</f>
        <v>0</v>
      </c>
      <c r="K58" s="14">
        <f>G58*H58</f>
        <v>0</v>
      </c>
      <c r="L58" s="18"/>
      <c r="Y58" s="21">
        <f>IF(AP58="5",BI58,0)</f>
        <v>0</v>
      </c>
      <c r="AA58" s="21">
        <f>IF(AP58="1",BG58,0)</f>
        <v>0</v>
      </c>
      <c r="AB58" s="21">
        <f>IF(AP58="1",BH58,0)</f>
        <v>0</v>
      </c>
      <c r="AC58" s="21">
        <f>IF(AP58="7",BG58,0)</f>
        <v>0</v>
      </c>
      <c r="AD58" s="21">
        <f>IF(AP58="7",BH58,0)</f>
        <v>0</v>
      </c>
      <c r="AE58" s="21">
        <f>IF(AP58="2",BG58,0)</f>
        <v>0</v>
      </c>
      <c r="AF58" s="21">
        <f>IF(AP58="2",BH58,0)</f>
        <v>0</v>
      </c>
      <c r="AG58" s="21">
        <f>IF(AP58="0",BI58,0)</f>
        <v>0</v>
      </c>
      <c r="AH58" s="20" t="s">
        <v>313</v>
      </c>
      <c r="AI58" s="14">
        <f>IF(AM58=0,K58,0)</f>
        <v>0</v>
      </c>
      <c r="AJ58" s="14">
        <f>IF(AM58=15,K58,0)</f>
        <v>0</v>
      </c>
      <c r="AK58" s="14">
        <f>IF(AM58=21,K58,0)</f>
        <v>0</v>
      </c>
      <c r="AM58" s="21">
        <v>15</v>
      </c>
      <c r="AN58" s="21">
        <f>H58*0.294059829059829</f>
        <v>0</v>
      </c>
      <c r="AO58" s="21">
        <f>H58*(1-0.294059829059829)</f>
        <v>0</v>
      </c>
      <c r="AP58" s="22" t="s">
        <v>7</v>
      </c>
      <c r="AU58" s="21">
        <f>AV58+AW58</f>
        <v>0</v>
      </c>
      <c r="AV58" s="21">
        <f>G58*AN58</f>
        <v>0</v>
      </c>
      <c r="AW58" s="21">
        <f>G58*AO58</f>
        <v>0</v>
      </c>
      <c r="AX58" s="24" t="s">
        <v>326</v>
      </c>
      <c r="AY58" s="24" t="s">
        <v>342</v>
      </c>
      <c r="AZ58" s="20" t="s">
        <v>355</v>
      </c>
      <c r="BB58" s="21">
        <f>AV58+AW58</f>
        <v>0</v>
      </c>
      <c r="BC58" s="21">
        <f>H58/(100-BD58)*100</f>
        <v>0</v>
      </c>
      <c r="BD58" s="21">
        <v>0</v>
      </c>
      <c r="BE58" s="21">
        <f>58</f>
        <v>58</v>
      </c>
      <c r="BG58" s="14">
        <f>G58*AN58</f>
        <v>0</v>
      </c>
      <c r="BH58" s="14">
        <f>G58*AO58</f>
        <v>0</v>
      </c>
      <c r="BI58" s="14">
        <f>G58*H58</f>
        <v>0</v>
      </c>
      <c r="BJ58" s="14" t="s">
        <v>159</v>
      </c>
      <c r="BK58" s="21">
        <v>60</v>
      </c>
    </row>
    <row r="59" spans="1:46" ht="12.75">
      <c r="A59" s="2"/>
      <c r="B59" s="8" t="s">
        <v>67</v>
      </c>
      <c r="C59" s="98" t="s">
        <v>214</v>
      </c>
      <c r="D59" s="99"/>
      <c r="E59" s="99"/>
      <c r="F59" s="12" t="s">
        <v>6</v>
      </c>
      <c r="G59" s="12" t="s">
        <v>6</v>
      </c>
      <c r="H59" s="12" t="s">
        <v>6</v>
      </c>
      <c r="I59" s="26">
        <f>SUM(I60:I60)</f>
        <v>0</v>
      </c>
      <c r="J59" s="26">
        <f>SUM(J60:J60)</f>
        <v>0</v>
      </c>
      <c r="K59" s="26">
        <f>SUM(K60:K60)</f>
        <v>0</v>
      </c>
      <c r="L59" s="18"/>
      <c r="AH59" s="20" t="s">
        <v>313</v>
      </c>
      <c r="AR59" s="26">
        <f>SUM(AI60:AI60)</f>
        <v>0</v>
      </c>
      <c r="AS59" s="26">
        <f>SUM(AJ60:AJ60)</f>
        <v>0</v>
      </c>
      <c r="AT59" s="26">
        <f>SUM(AK60:AK60)</f>
        <v>0</v>
      </c>
    </row>
    <row r="60" spans="1:63" ht="12.75">
      <c r="A60" s="3" t="s">
        <v>42</v>
      </c>
      <c r="B60" s="9" t="s">
        <v>124</v>
      </c>
      <c r="C60" s="100" t="s">
        <v>215</v>
      </c>
      <c r="D60" s="101"/>
      <c r="E60" s="101"/>
      <c r="F60" s="9" t="s">
        <v>284</v>
      </c>
      <c r="G60" s="14">
        <v>90</v>
      </c>
      <c r="H60" s="14">
        <v>0</v>
      </c>
      <c r="I60" s="14">
        <f>G60*AN60</f>
        <v>0</v>
      </c>
      <c r="J60" s="14">
        <f>G60*AO60</f>
        <v>0</v>
      </c>
      <c r="K60" s="14">
        <f>G60*H60</f>
        <v>0</v>
      </c>
      <c r="L60" s="18"/>
      <c r="Y60" s="21">
        <f>IF(AP60="5",BI60,0)</f>
        <v>0</v>
      </c>
      <c r="AA60" s="21">
        <f>IF(AP60="1",BG60,0)</f>
        <v>0</v>
      </c>
      <c r="AB60" s="21">
        <f>IF(AP60="1",BH60,0)</f>
        <v>0</v>
      </c>
      <c r="AC60" s="21">
        <f>IF(AP60="7",BG60,0)</f>
        <v>0</v>
      </c>
      <c r="AD60" s="21">
        <f>IF(AP60="7",BH60,0)</f>
        <v>0</v>
      </c>
      <c r="AE60" s="21">
        <f>IF(AP60="2",BG60,0)</f>
        <v>0</v>
      </c>
      <c r="AF60" s="21">
        <f>IF(AP60="2",BH60,0)</f>
        <v>0</v>
      </c>
      <c r="AG60" s="21">
        <f>IF(AP60="0",BI60,0)</f>
        <v>0</v>
      </c>
      <c r="AH60" s="20" t="s">
        <v>313</v>
      </c>
      <c r="AI60" s="14">
        <f>IF(AM60=0,K60,0)</f>
        <v>0</v>
      </c>
      <c r="AJ60" s="14">
        <f>IF(AM60=15,K60,0)</f>
        <v>0</v>
      </c>
      <c r="AK60" s="14">
        <f>IF(AM60=21,K60,0)</f>
        <v>0</v>
      </c>
      <c r="AM60" s="21">
        <v>15</v>
      </c>
      <c r="AN60" s="21">
        <f>H60*0.272718894009217</f>
        <v>0</v>
      </c>
      <c r="AO60" s="21">
        <f>H60*(1-0.272718894009217)</f>
        <v>0</v>
      </c>
      <c r="AP60" s="22" t="s">
        <v>7</v>
      </c>
      <c r="AU60" s="21">
        <f>AV60+AW60</f>
        <v>0</v>
      </c>
      <c r="AV60" s="21">
        <f>G60*AN60</f>
        <v>0</v>
      </c>
      <c r="AW60" s="21">
        <f>G60*AO60</f>
        <v>0</v>
      </c>
      <c r="AX60" s="24" t="s">
        <v>327</v>
      </c>
      <c r="AY60" s="24" t="s">
        <v>342</v>
      </c>
      <c r="AZ60" s="20" t="s">
        <v>355</v>
      </c>
      <c r="BB60" s="21">
        <f>AV60+AW60</f>
        <v>0</v>
      </c>
      <c r="BC60" s="21">
        <f>H60/(100-BD60)*100</f>
        <v>0</v>
      </c>
      <c r="BD60" s="21">
        <v>0</v>
      </c>
      <c r="BE60" s="21">
        <f>60</f>
        <v>60</v>
      </c>
      <c r="BG60" s="14">
        <f>G60*AN60</f>
        <v>0</v>
      </c>
      <c r="BH60" s="14">
        <f>G60*AO60</f>
        <v>0</v>
      </c>
      <c r="BI60" s="14">
        <f>G60*H60</f>
        <v>0</v>
      </c>
      <c r="BJ60" s="14" t="s">
        <v>159</v>
      </c>
      <c r="BK60" s="21">
        <v>61</v>
      </c>
    </row>
    <row r="61" spans="1:46" ht="12.75">
      <c r="A61" s="2"/>
      <c r="B61" s="8" t="s">
        <v>125</v>
      </c>
      <c r="C61" s="98" t="s">
        <v>216</v>
      </c>
      <c r="D61" s="99"/>
      <c r="E61" s="99"/>
      <c r="F61" s="12" t="s">
        <v>6</v>
      </c>
      <c r="G61" s="12" t="s">
        <v>6</v>
      </c>
      <c r="H61" s="12" t="s">
        <v>6</v>
      </c>
      <c r="I61" s="26">
        <f>SUM(I62:I63)</f>
        <v>0</v>
      </c>
      <c r="J61" s="26">
        <f>SUM(J62:J63)</f>
        <v>0</v>
      </c>
      <c r="K61" s="26">
        <f>SUM(K62:K63)</f>
        <v>0</v>
      </c>
      <c r="L61" s="18"/>
      <c r="AH61" s="20" t="s">
        <v>313</v>
      </c>
      <c r="AR61" s="26">
        <f>SUM(AI62:AI63)</f>
        <v>0</v>
      </c>
      <c r="AS61" s="26">
        <f>SUM(AJ62:AJ63)</f>
        <v>0</v>
      </c>
      <c r="AT61" s="26">
        <f>SUM(AK62:AK63)</f>
        <v>0</v>
      </c>
    </row>
    <row r="62" spans="1:63" ht="12.75">
      <c r="A62" s="3" t="s">
        <v>43</v>
      </c>
      <c r="B62" s="9" t="s">
        <v>126</v>
      </c>
      <c r="C62" s="100" t="s">
        <v>217</v>
      </c>
      <c r="D62" s="101"/>
      <c r="E62" s="101"/>
      <c r="F62" s="9" t="s">
        <v>282</v>
      </c>
      <c r="G62" s="14">
        <v>19.8</v>
      </c>
      <c r="H62" s="14">
        <v>0</v>
      </c>
      <c r="I62" s="14">
        <f>G62*AN62</f>
        <v>0</v>
      </c>
      <c r="J62" s="14">
        <f>G62*AO62</f>
        <v>0</v>
      </c>
      <c r="K62" s="14">
        <f>G62*H62</f>
        <v>0</v>
      </c>
      <c r="L62" s="18"/>
      <c r="Y62" s="21">
        <f>IF(AP62="5",BI62,0)</f>
        <v>0</v>
      </c>
      <c r="AA62" s="21">
        <f>IF(AP62="1",BG62,0)</f>
        <v>0</v>
      </c>
      <c r="AB62" s="21">
        <f>IF(AP62="1",BH62,0)</f>
        <v>0</v>
      </c>
      <c r="AC62" s="21">
        <f>IF(AP62="7",BG62,0)</f>
        <v>0</v>
      </c>
      <c r="AD62" s="21">
        <f>IF(AP62="7",BH62,0)</f>
        <v>0</v>
      </c>
      <c r="AE62" s="21">
        <f>IF(AP62="2",BG62,0)</f>
        <v>0</v>
      </c>
      <c r="AF62" s="21">
        <f>IF(AP62="2",BH62,0)</f>
        <v>0</v>
      </c>
      <c r="AG62" s="21">
        <f>IF(AP62="0",BI62,0)</f>
        <v>0</v>
      </c>
      <c r="AH62" s="20" t="s">
        <v>313</v>
      </c>
      <c r="AI62" s="14">
        <f>IF(AM62=0,K62,0)</f>
        <v>0</v>
      </c>
      <c r="AJ62" s="14">
        <f>IF(AM62=15,K62,0)</f>
        <v>0</v>
      </c>
      <c r="AK62" s="14">
        <f>IF(AM62=21,K62,0)</f>
        <v>0</v>
      </c>
      <c r="AM62" s="21">
        <v>15</v>
      </c>
      <c r="AN62" s="21">
        <f>H62*0.00274305769349178</f>
        <v>0</v>
      </c>
      <c r="AO62" s="21">
        <f>H62*(1-0.00274305769349178)</f>
        <v>0</v>
      </c>
      <c r="AP62" s="22" t="s">
        <v>13</v>
      </c>
      <c r="AU62" s="21">
        <f>AV62+AW62</f>
        <v>0</v>
      </c>
      <c r="AV62" s="21">
        <f>G62*AN62</f>
        <v>0</v>
      </c>
      <c r="AW62" s="21">
        <f>G62*AO62</f>
        <v>0</v>
      </c>
      <c r="AX62" s="24" t="s">
        <v>328</v>
      </c>
      <c r="AY62" s="24" t="s">
        <v>343</v>
      </c>
      <c r="AZ62" s="20" t="s">
        <v>355</v>
      </c>
      <c r="BB62" s="21">
        <f>AV62+AW62</f>
        <v>0</v>
      </c>
      <c r="BC62" s="21">
        <f>H62/(100-BD62)*100</f>
        <v>0</v>
      </c>
      <c r="BD62" s="21">
        <v>0</v>
      </c>
      <c r="BE62" s="21">
        <f>62</f>
        <v>62</v>
      </c>
      <c r="BG62" s="14">
        <f>G62*AN62</f>
        <v>0</v>
      </c>
      <c r="BH62" s="14">
        <f>G62*AO62</f>
        <v>0</v>
      </c>
      <c r="BI62" s="14">
        <f>G62*H62</f>
        <v>0</v>
      </c>
      <c r="BJ62" s="14" t="s">
        <v>159</v>
      </c>
      <c r="BK62" s="21">
        <v>784</v>
      </c>
    </row>
    <row r="63" spans="1:63" ht="12.75">
      <c r="A63" s="3" t="s">
        <v>44</v>
      </c>
      <c r="B63" s="9" t="s">
        <v>127</v>
      </c>
      <c r="C63" s="100" t="s">
        <v>218</v>
      </c>
      <c r="D63" s="101"/>
      <c r="E63" s="101"/>
      <c r="F63" s="9" t="s">
        <v>282</v>
      </c>
      <c r="G63" s="14">
        <v>19.8</v>
      </c>
      <c r="H63" s="14">
        <v>0</v>
      </c>
      <c r="I63" s="14">
        <f>G63*AN63</f>
        <v>0</v>
      </c>
      <c r="J63" s="14">
        <f>G63*AO63</f>
        <v>0</v>
      </c>
      <c r="K63" s="14">
        <f>G63*H63</f>
        <v>0</v>
      </c>
      <c r="L63" s="18"/>
      <c r="Y63" s="21">
        <f>IF(AP63="5",BI63,0)</f>
        <v>0</v>
      </c>
      <c r="AA63" s="21">
        <f>IF(AP63="1",BG63,0)</f>
        <v>0</v>
      </c>
      <c r="AB63" s="21">
        <f>IF(AP63="1",BH63,0)</f>
        <v>0</v>
      </c>
      <c r="AC63" s="21">
        <f>IF(AP63="7",BG63,0)</f>
        <v>0</v>
      </c>
      <c r="AD63" s="21">
        <f>IF(AP63="7",BH63,0)</f>
        <v>0</v>
      </c>
      <c r="AE63" s="21">
        <f>IF(AP63="2",BG63,0)</f>
        <v>0</v>
      </c>
      <c r="AF63" s="21">
        <f>IF(AP63="2",BH63,0)</f>
        <v>0</v>
      </c>
      <c r="AG63" s="21">
        <f>IF(AP63="0",BI63,0)</f>
        <v>0</v>
      </c>
      <c r="AH63" s="20" t="s">
        <v>313</v>
      </c>
      <c r="AI63" s="14">
        <f>IF(AM63=0,K63,0)</f>
        <v>0</v>
      </c>
      <c r="AJ63" s="14">
        <f>IF(AM63=15,K63,0)</f>
        <v>0</v>
      </c>
      <c r="AK63" s="14">
        <f>IF(AM63=21,K63,0)</f>
        <v>0</v>
      </c>
      <c r="AM63" s="21">
        <v>15</v>
      </c>
      <c r="AN63" s="21">
        <f>H63*0.412267657992565</f>
        <v>0</v>
      </c>
      <c r="AO63" s="21">
        <f>H63*(1-0.412267657992565)</f>
        <v>0</v>
      </c>
      <c r="AP63" s="22" t="s">
        <v>13</v>
      </c>
      <c r="AU63" s="21">
        <f>AV63+AW63</f>
        <v>0</v>
      </c>
      <c r="AV63" s="21">
        <f>G63*AN63</f>
        <v>0</v>
      </c>
      <c r="AW63" s="21">
        <f>G63*AO63</f>
        <v>0</v>
      </c>
      <c r="AX63" s="24" t="s">
        <v>328</v>
      </c>
      <c r="AY63" s="24" t="s">
        <v>343</v>
      </c>
      <c r="AZ63" s="20" t="s">
        <v>355</v>
      </c>
      <c r="BB63" s="21">
        <f>AV63+AW63</f>
        <v>0</v>
      </c>
      <c r="BC63" s="21">
        <f>H63/(100-BD63)*100</f>
        <v>0</v>
      </c>
      <c r="BD63" s="21">
        <v>0</v>
      </c>
      <c r="BE63" s="21">
        <f>63</f>
        <v>63</v>
      </c>
      <c r="BG63" s="14">
        <f>G63*AN63</f>
        <v>0</v>
      </c>
      <c r="BH63" s="14">
        <f>G63*AO63</f>
        <v>0</v>
      </c>
      <c r="BI63" s="14">
        <f>G63*H63</f>
        <v>0</v>
      </c>
      <c r="BJ63" s="14" t="s">
        <v>159</v>
      </c>
      <c r="BK63" s="21">
        <v>784</v>
      </c>
    </row>
    <row r="64" spans="1:12" ht="12.75">
      <c r="A64" s="65"/>
      <c r="B64" s="66"/>
      <c r="C64" s="104" t="s">
        <v>219</v>
      </c>
      <c r="D64" s="105"/>
      <c r="E64" s="106"/>
      <c r="F64" s="65" t="s">
        <v>6</v>
      </c>
      <c r="G64" s="65" t="s">
        <v>6</v>
      </c>
      <c r="H64" s="65" t="s">
        <v>6</v>
      </c>
      <c r="I64" s="67">
        <f>I65</f>
        <v>0</v>
      </c>
      <c r="J64" s="67">
        <f>J65</f>
        <v>0</v>
      </c>
      <c r="K64" s="67">
        <f>K65</f>
        <v>0</v>
      </c>
      <c r="L64" s="61"/>
    </row>
    <row r="65" spans="1:46" ht="12.75">
      <c r="A65" s="2"/>
      <c r="B65" s="8" t="s">
        <v>69</v>
      </c>
      <c r="C65" s="98" t="s">
        <v>220</v>
      </c>
      <c r="D65" s="99"/>
      <c r="E65" s="99"/>
      <c r="F65" s="12" t="s">
        <v>6</v>
      </c>
      <c r="G65" s="12" t="s">
        <v>6</v>
      </c>
      <c r="H65" s="12" t="s">
        <v>6</v>
      </c>
      <c r="I65" s="26">
        <f>SUM(I66:I71)</f>
        <v>0</v>
      </c>
      <c r="J65" s="26">
        <f>SUM(J66:J71)</f>
        <v>0</v>
      </c>
      <c r="K65" s="26">
        <f>SUM(K66:K71)</f>
        <v>0</v>
      </c>
      <c r="L65" s="18"/>
      <c r="AH65" s="20" t="s">
        <v>314</v>
      </c>
      <c r="AR65" s="26">
        <f>SUM(AI66:AI71)</f>
        <v>0</v>
      </c>
      <c r="AS65" s="26">
        <f>SUM(AJ66:AJ71)</f>
        <v>0</v>
      </c>
      <c r="AT65" s="26">
        <f>SUM(AK66:AK71)</f>
        <v>0</v>
      </c>
    </row>
    <row r="66" spans="1:63" ht="12.75">
      <c r="A66" s="3" t="s">
        <v>45</v>
      </c>
      <c r="B66" s="9" t="s">
        <v>128</v>
      </c>
      <c r="C66" s="100" t="s">
        <v>221</v>
      </c>
      <c r="D66" s="101"/>
      <c r="E66" s="101"/>
      <c r="F66" s="9" t="s">
        <v>284</v>
      </c>
      <c r="G66" s="14">
        <v>69</v>
      </c>
      <c r="H66" s="14">
        <v>0</v>
      </c>
      <c r="I66" s="14">
        <f>G66*AN66</f>
        <v>0</v>
      </c>
      <c r="J66" s="14">
        <f>G66*AO66</f>
        <v>0</v>
      </c>
      <c r="K66" s="14">
        <f aca="true" t="shared" si="24" ref="K66:K71">G66*H66</f>
        <v>0</v>
      </c>
      <c r="L66" s="18"/>
      <c r="Y66" s="21">
        <f aca="true" t="shared" si="25" ref="Y66:Y71">IF(AP66="5",BI66,0)</f>
        <v>0</v>
      </c>
      <c r="AA66" s="21">
        <f aca="true" t="shared" si="26" ref="AA66:AA71">IF(AP66="1",BG66,0)</f>
        <v>0</v>
      </c>
      <c r="AB66" s="21">
        <f aca="true" t="shared" si="27" ref="AB66:AB71">IF(AP66="1",BH66,0)</f>
        <v>0</v>
      </c>
      <c r="AC66" s="21">
        <f aca="true" t="shared" si="28" ref="AC66:AC71">IF(AP66="7",BG66,0)</f>
        <v>0</v>
      </c>
      <c r="AD66" s="21">
        <f aca="true" t="shared" si="29" ref="AD66:AD71">IF(AP66="7",BH66,0)</f>
        <v>0</v>
      </c>
      <c r="AE66" s="21">
        <f aca="true" t="shared" si="30" ref="AE66:AE71">IF(AP66="2",BG66,0)</f>
        <v>0</v>
      </c>
      <c r="AF66" s="21">
        <f aca="true" t="shared" si="31" ref="AF66:AF71">IF(AP66="2",BH66,0)</f>
        <v>0</v>
      </c>
      <c r="AG66" s="21">
        <f aca="true" t="shared" si="32" ref="AG66:AG71">IF(AP66="0",BI66,0)</f>
        <v>0</v>
      </c>
      <c r="AH66" s="20" t="s">
        <v>314</v>
      </c>
      <c r="AI66" s="14">
        <f>IF(AM66=0,K66,0)</f>
        <v>0</v>
      </c>
      <c r="AJ66" s="14">
        <f>IF(AM66=15,K66,0)</f>
        <v>0</v>
      </c>
      <c r="AK66" s="14">
        <f>IF(AM66=21,K66,0)</f>
        <v>0</v>
      </c>
      <c r="AM66" s="21">
        <v>15</v>
      </c>
      <c r="AN66" s="21">
        <f>H66*0.612579617834395</f>
        <v>0</v>
      </c>
      <c r="AO66" s="21">
        <f>H66*(1-0.612579617834395)</f>
        <v>0</v>
      </c>
      <c r="AP66" s="22" t="s">
        <v>7</v>
      </c>
      <c r="AU66" s="21">
        <f aca="true" t="shared" si="33" ref="AU66:AU71">AV66+AW66</f>
        <v>0</v>
      </c>
      <c r="AV66" s="21">
        <f>G66*AN66</f>
        <v>0</v>
      </c>
      <c r="AW66" s="21">
        <f>G66*AO66</f>
        <v>0</v>
      </c>
      <c r="AX66" s="24" t="s">
        <v>329</v>
      </c>
      <c r="AY66" s="24" t="s">
        <v>344</v>
      </c>
      <c r="AZ66" s="20" t="s">
        <v>356</v>
      </c>
      <c r="BB66" s="21">
        <f aca="true" t="shared" si="34" ref="BB66:BB71">AV66+AW66</f>
        <v>0</v>
      </c>
      <c r="BC66" s="21">
        <f>H66/(100-BD66)*100</f>
        <v>0</v>
      </c>
      <c r="BD66" s="21">
        <v>0</v>
      </c>
      <c r="BE66" s="21">
        <f>66</f>
        <v>66</v>
      </c>
      <c r="BG66" s="14">
        <f>G66*AN66</f>
        <v>0</v>
      </c>
      <c r="BH66" s="14">
        <f>G66*AO66</f>
        <v>0</v>
      </c>
      <c r="BI66" s="14">
        <f aca="true" t="shared" si="35" ref="BI66:BI71">G66*H66</f>
        <v>0</v>
      </c>
      <c r="BJ66" s="14" t="s">
        <v>159</v>
      </c>
      <c r="BK66" s="21">
        <v>63</v>
      </c>
    </row>
    <row r="67" spans="1:63" ht="12.75">
      <c r="A67" s="3" t="s">
        <v>46</v>
      </c>
      <c r="B67" s="9" t="s">
        <v>129</v>
      </c>
      <c r="C67" s="100" t="s">
        <v>222</v>
      </c>
      <c r="D67" s="101"/>
      <c r="E67" s="101"/>
      <c r="F67" s="9" t="s">
        <v>282</v>
      </c>
      <c r="G67" s="14">
        <v>32.64</v>
      </c>
      <c r="H67" s="14">
        <v>0</v>
      </c>
      <c r="I67" s="14">
        <f>G67*AN67</f>
        <v>0</v>
      </c>
      <c r="J67" s="14">
        <f>G67*AO67</f>
        <v>0</v>
      </c>
      <c r="K67" s="14">
        <f t="shared" si="24"/>
        <v>0</v>
      </c>
      <c r="L67" s="18"/>
      <c r="Y67" s="21">
        <f t="shared" si="25"/>
        <v>0</v>
      </c>
      <c r="AA67" s="21">
        <f t="shared" si="26"/>
        <v>0</v>
      </c>
      <c r="AB67" s="21">
        <f t="shared" si="27"/>
        <v>0</v>
      </c>
      <c r="AC67" s="21">
        <f t="shared" si="28"/>
        <v>0</v>
      </c>
      <c r="AD67" s="21">
        <f t="shared" si="29"/>
        <v>0</v>
      </c>
      <c r="AE67" s="21">
        <f t="shared" si="30"/>
        <v>0</v>
      </c>
      <c r="AF67" s="21">
        <f t="shared" si="31"/>
        <v>0</v>
      </c>
      <c r="AG67" s="21">
        <f t="shared" si="32"/>
        <v>0</v>
      </c>
      <c r="AH67" s="20" t="s">
        <v>314</v>
      </c>
      <c r="AI67" s="14">
        <f>IF(AM67=0,K67,0)</f>
        <v>0</v>
      </c>
      <c r="AJ67" s="14">
        <f>IF(AM67=15,K67,0)</f>
        <v>0</v>
      </c>
      <c r="AK67" s="14">
        <f>IF(AM67=21,K67,0)</f>
        <v>0</v>
      </c>
      <c r="AM67" s="21">
        <v>15</v>
      </c>
      <c r="AN67" s="21">
        <f>H67*0.477759121448466</f>
        <v>0</v>
      </c>
      <c r="AO67" s="21">
        <f>H67*(1-0.477759121448466)</f>
        <v>0</v>
      </c>
      <c r="AP67" s="22" t="s">
        <v>7</v>
      </c>
      <c r="AU67" s="21">
        <f t="shared" si="33"/>
        <v>0</v>
      </c>
      <c r="AV67" s="21">
        <f>G67*AN67</f>
        <v>0</v>
      </c>
      <c r="AW67" s="21">
        <f>G67*AO67</f>
        <v>0</v>
      </c>
      <c r="AX67" s="24" t="s">
        <v>329</v>
      </c>
      <c r="AY67" s="24" t="s">
        <v>344</v>
      </c>
      <c r="AZ67" s="20" t="s">
        <v>356</v>
      </c>
      <c r="BB67" s="21">
        <f t="shared" si="34"/>
        <v>0</v>
      </c>
      <c r="BC67" s="21">
        <f>H67/(100-BD67)*100</f>
        <v>0</v>
      </c>
      <c r="BD67" s="21">
        <v>0</v>
      </c>
      <c r="BE67" s="21">
        <f>67</f>
        <v>67</v>
      </c>
      <c r="BG67" s="14">
        <f>G67*AN67</f>
        <v>0</v>
      </c>
      <c r="BH67" s="14">
        <f>G67*AO67</f>
        <v>0</v>
      </c>
      <c r="BI67" s="14">
        <f t="shared" si="35"/>
        <v>0</v>
      </c>
      <c r="BJ67" s="14" t="s">
        <v>159</v>
      </c>
      <c r="BK67" s="21">
        <v>63</v>
      </c>
    </row>
    <row r="68" spans="1:63" ht="12.75">
      <c r="A68" s="3" t="s">
        <v>47</v>
      </c>
      <c r="B68" s="9" t="s">
        <v>130</v>
      </c>
      <c r="C68" s="100" t="s">
        <v>223</v>
      </c>
      <c r="D68" s="101"/>
      <c r="E68" s="101"/>
      <c r="F68" s="9" t="s">
        <v>282</v>
      </c>
      <c r="G68" s="14">
        <v>34</v>
      </c>
      <c r="H68" s="14">
        <v>0</v>
      </c>
      <c r="I68" s="14">
        <f>G68*AN68</f>
        <v>0</v>
      </c>
      <c r="J68" s="14">
        <f>G68*AO68</f>
        <v>0</v>
      </c>
      <c r="K68" s="14">
        <f t="shared" si="24"/>
        <v>0</v>
      </c>
      <c r="L68" s="18"/>
      <c r="Y68" s="21">
        <f t="shared" si="25"/>
        <v>0</v>
      </c>
      <c r="AA68" s="21">
        <f t="shared" si="26"/>
        <v>0</v>
      </c>
      <c r="AB68" s="21">
        <f t="shared" si="27"/>
        <v>0</v>
      </c>
      <c r="AC68" s="21">
        <f t="shared" si="28"/>
        <v>0</v>
      </c>
      <c r="AD68" s="21">
        <f t="shared" si="29"/>
        <v>0</v>
      </c>
      <c r="AE68" s="21">
        <f t="shared" si="30"/>
        <v>0</v>
      </c>
      <c r="AF68" s="21">
        <f t="shared" si="31"/>
        <v>0</v>
      </c>
      <c r="AG68" s="21">
        <f t="shared" si="32"/>
        <v>0</v>
      </c>
      <c r="AH68" s="20" t="s">
        <v>314</v>
      </c>
      <c r="AI68" s="14">
        <f>IF(AM68=0,K68,0)</f>
        <v>0</v>
      </c>
      <c r="AJ68" s="14">
        <f>IF(AM68=15,K68,0)</f>
        <v>0</v>
      </c>
      <c r="AK68" s="14">
        <f>IF(AM68=21,K68,0)</f>
        <v>0</v>
      </c>
      <c r="AM68" s="21">
        <v>15</v>
      </c>
      <c r="AN68" s="21">
        <f>H68*0.896995024875622</f>
        <v>0</v>
      </c>
      <c r="AO68" s="21">
        <f>H68*(1-0.896995024875622)</f>
        <v>0</v>
      </c>
      <c r="AP68" s="22" t="s">
        <v>7</v>
      </c>
      <c r="AU68" s="21">
        <f t="shared" si="33"/>
        <v>0</v>
      </c>
      <c r="AV68" s="21">
        <f>G68*AN68</f>
        <v>0</v>
      </c>
      <c r="AW68" s="21">
        <f>G68*AO68</f>
        <v>0</v>
      </c>
      <c r="AX68" s="24" t="s">
        <v>329</v>
      </c>
      <c r="AY68" s="24" t="s">
        <v>344</v>
      </c>
      <c r="AZ68" s="20" t="s">
        <v>356</v>
      </c>
      <c r="BB68" s="21">
        <f t="shared" si="34"/>
        <v>0</v>
      </c>
      <c r="BC68" s="21">
        <f>H68/(100-BD68)*100</f>
        <v>0</v>
      </c>
      <c r="BD68" s="21">
        <v>0</v>
      </c>
      <c r="BE68" s="21">
        <f>68</f>
        <v>68</v>
      </c>
      <c r="BG68" s="14">
        <f>G68*AN68</f>
        <v>0</v>
      </c>
      <c r="BH68" s="14">
        <f>G68*AO68</f>
        <v>0</v>
      </c>
      <c r="BI68" s="14">
        <f t="shared" si="35"/>
        <v>0</v>
      </c>
      <c r="BJ68" s="14" t="s">
        <v>159</v>
      </c>
      <c r="BK68" s="21">
        <v>63</v>
      </c>
    </row>
    <row r="69" spans="1:63" ht="12.75">
      <c r="A69" s="3" t="s">
        <v>48</v>
      </c>
      <c r="B69" s="9" t="s">
        <v>131</v>
      </c>
      <c r="C69" s="100" t="s">
        <v>224</v>
      </c>
      <c r="D69" s="101"/>
      <c r="E69" s="101"/>
      <c r="F69" s="9" t="s">
        <v>282</v>
      </c>
      <c r="G69" s="14">
        <v>27.4</v>
      </c>
      <c r="H69" s="14">
        <v>0</v>
      </c>
      <c r="I69" s="14">
        <f>G69*AN69</f>
        <v>0</v>
      </c>
      <c r="J69" s="14">
        <f>G69*AO69</f>
        <v>0</v>
      </c>
      <c r="K69" s="14">
        <f t="shared" si="24"/>
        <v>0</v>
      </c>
      <c r="L69" s="18"/>
      <c r="Y69" s="21">
        <f t="shared" si="25"/>
        <v>0</v>
      </c>
      <c r="AA69" s="21">
        <f t="shared" si="26"/>
        <v>0</v>
      </c>
      <c r="AB69" s="21">
        <f t="shared" si="27"/>
        <v>0</v>
      </c>
      <c r="AC69" s="21">
        <f t="shared" si="28"/>
        <v>0</v>
      </c>
      <c r="AD69" s="21">
        <f t="shared" si="29"/>
        <v>0</v>
      </c>
      <c r="AE69" s="21">
        <f t="shared" si="30"/>
        <v>0</v>
      </c>
      <c r="AF69" s="21">
        <f t="shared" si="31"/>
        <v>0</v>
      </c>
      <c r="AG69" s="21">
        <f t="shared" si="32"/>
        <v>0</v>
      </c>
      <c r="AH69" s="20" t="s">
        <v>314</v>
      </c>
      <c r="AI69" s="14">
        <f>IF(AM69=0,K69,0)</f>
        <v>0</v>
      </c>
      <c r="AJ69" s="14">
        <f>IF(AM69=15,K69,0)</f>
        <v>0</v>
      </c>
      <c r="AK69" s="14">
        <f>IF(AM69=21,K69,0)</f>
        <v>0</v>
      </c>
      <c r="AM69" s="21">
        <v>15</v>
      </c>
      <c r="AN69" s="21">
        <f>H69*0.162653562653563</f>
        <v>0</v>
      </c>
      <c r="AO69" s="21">
        <f>H69*(1-0.162653562653563)</f>
        <v>0</v>
      </c>
      <c r="AP69" s="22" t="s">
        <v>7</v>
      </c>
      <c r="AU69" s="21">
        <f t="shared" si="33"/>
        <v>0</v>
      </c>
      <c r="AV69" s="21">
        <f>G69*AN69</f>
        <v>0</v>
      </c>
      <c r="AW69" s="21">
        <f>G69*AO69</f>
        <v>0</v>
      </c>
      <c r="AX69" s="24" t="s">
        <v>329</v>
      </c>
      <c r="AY69" s="24" t="s">
        <v>344</v>
      </c>
      <c r="AZ69" s="20" t="s">
        <v>356</v>
      </c>
      <c r="BB69" s="21">
        <f t="shared" si="34"/>
        <v>0</v>
      </c>
      <c r="BC69" s="21">
        <f>H69/(100-BD69)*100</f>
        <v>0</v>
      </c>
      <c r="BD69" s="21">
        <v>0</v>
      </c>
      <c r="BE69" s="21">
        <f>69</f>
        <v>69</v>
      </c>
      <c r="BG69" s="14">
        <f>G69*AN69</f>
        <v>0</v>
      </c>
      <c r="BH69" s="14">
        <f>G69*AO69</f>
        <v>0</v>
      </c>
      <c r="BI69" s="14">
        <f t="shared" si="35"/>
        <v>0</v>
      </c>
      <c r="BJ69" s="14" t="s">
        <v>159</v>
      </c>
      <c r="BK69" s="21">
        <v>63</v>
      </c>
    </row>
    <row r="70" spans="1:63" ht="12.75">
      <c r="A70" s="3" t="s">
        <v>49</v>
      </c>
      <c r="B70" s="9" t="s">
        <v>132</v>
      </c>
      <c r="C70" s="100" t="s">
        <v>225</v>
      </c>
      <c r="D70" s="101"/>
      <c r="E70" s="101"/>
      <c r="F70" s="9" t="s">
        <v>283</v>
      </c>
      <c r="G70" s="14">
        <v>2.74</v>
      </c>
      <c r="H70" s="14">
        <v>0</v>
      </c>
      <c r="I70" s="14">
        <f>G70*AN70</f>
        <v>0</v>
      </c>
      <c r="J70" s="14">
        <f>G70*AO70</f>
        <v>0</v>
      </c>
      <c r="K70" s="14">
        <f t="shared" si="24"/>
        <v>0</v>
      </c>
      <c r="L70" s="18"/>
      <c r="Y70" s="21">
        <f t="shared" si="25"/>
        <v>0</v>
      </c>
      <c r="AA70" s="21">
        <f t="shared" si="26"/>
        <v>0</v>
      </c>
      <c r="AB70" s="21">
        <f t="shared" si="27"/>
        <v>0</v>
      </c>
      <c r="AC70" s="21">
        <f t="shared" si="28"/>
        <v>0</v>
      </c>
      <c r="AD70" s="21">
        <f t="shared" si="29"/>
        <v>0</v>
      </c>
      <c r="AE70" s="21">
        <f t="shared" si="30"/>
        <v>0</v>
      </c>
      <c r="AF70" s="21">
        <f t="shared" si="31"/>
        <v>0</v>
      </c>
      <c r="AG70" s="21">
        <f t="shared" si="32"/>
        <v>0</v>
      </c>
      <c r="AH70" s="20" t="s">
        <v>314</v>
      </c>
      <c r="AI70" s="14">
        <f>IF(AM70=0,K70,0)</f>
        <v>0</v>
      </c>
      <c r="AJ70" s="14">
        <f>IF(AM70=15,K70,0)</f>
        <v>0</v>
      </c>
      <c r="AK70" s="14">
        <f>IF(AM70=21,K70,0)</f>
        <v>0</v>
      </c>
      <c r="AM70" s="21">
        <v>15</v>
      </c>
      <c r="AN70" s="21">
        <f>H70*0.720059368899647</f>
        <v>0</v>
      </c>
      <c r="AO70" s="21">
        <f>H70*(1-0.720059368899647)</f>
        <v>0</v>
      </c>
      <c r="AP70" s="22" t="s">
        <v>7</v>
      </c>
      <c r="AU70" s="21">
        <f t="shared" si="33"/>
        <v>0</v>
      </c>
      <c r="AV70" s="21">
        <f>G70*AN70</f>
        <v>0</v>
      </c>
      <c r="AW70" s="21">
        <f>G70*AO70</f>
        <v>0</v>
      </c>
      <c r="AX70" s="24" t="s">
        <v>329</v>
      </c>
      <c r="AY70" s="24" t="s">
        <v>344</v>
      </c>
      <c r="AZ70" s="20" t="s">
        <v>356</v>
      </c>
      <c r="BB70" s="21">
        <f t="shared" si="34"/>
        <v>0</v>
      </c>
      <c r="BC70" s="21">
        <f>H70/(100-BD70)*100</f>
        <v>0</v>
      </c>
      <c r="BD70" s="21">
        <v>0</v>
      </c>
      <c r="BE70" s="21">
        <f>70</f>
        <v>70</v>
      </c>
      <c r="BG70" s="14">
        <f>G70*AN70</f>
        <v>0</v>
      </c>
      <c r="BH70" s="14">
        <f>G70*AO70</f>
        <v>0</v>
      </c>
      <c r="BI70" s="14">
        <f t="shared" si="35"/>
        <v>0</v>
      </c>
      <c r="BJ70" s="14" t="s">
        <v>159</v>
      </c>
      <c r="BK70" s="21">
        <v>63</v>
      </c>
    </row>
    <row r="71" spans="1:63" ht="12.75">
      <c r="A71" s="3" t="s">
        <v>50</v>
      </c>
      <c r="B71" s="9" t="s">
        <v>133</v>
      </c>
      <c r="C71" s="100" t="s">
        <v>226</v>
      </c>
      <c r="D71" s="101"/>
      <c r="E71" s="101"/>
      <c r="F71" s="9" t="s">
        <v>285</v>
      </c>
      <c r="G71" s="14">
        <v>0.158</v>
      </c>
      <c r="H71" s="14">
        <v>0</v>
      </c>
      <c r="I71" s="14">
        <f>G71*AN71</f>
        <v>0</v>
      </c>
      <c r="J71" s="14">
        <f>G71*AO71</f>
        <v>0</v>
      </c>
      <c r="K71" s="14">
        <f t="shared" si="24"/>
        <v>0</v>
      </c>
      <c r="L71" s="18"/>
      <c r="Y71" s="21">
        <f t="shared" si="25"/>
        <v>0</v>
      </c>
      <c r="AA71" s="21">
        <f t="shared" si="26"/>
        <v>0</v>
      </c>
      <c r="AB71" s="21">
        <f t="shared" si="27"/>
        <v>0</v>
      </c>
      <c r="AC71" s="21">
        <f t="shared" si="28"/>
        <v>0</v>
      </c>
      <c r="AD71" s="21">
        <f t="shared" si="29"/>
        <v>0</v>
      </c>
      <c r="AE71" s="21">
        <f t="shared" si="30"/>
        <v>0</v>
      </c>
      <c r="AF71" s="21">
        <f t="shared" si="31"/>
        <v>0</v>
      </c>
      <c r="AG71" s="21">
        <f t="shared" si="32"/>
        <v>0</v>
      </c>
      <c r="AH71" s="20" t="s">
        <v>314</v>
      </c>
      <c r="AI71" s="14">
        <f>IF(AM71=0,K71,0)</f>
        <v>0</v>
      </c>
      <c r="AJ71" s="14">
        <f>IF(AM71=15,K71,0)</f>
        <v>0</v>
      </c>
      <c r="AK71" s="14">
        <f>IF(AM71=21,K71,0)</f>
        <v>0</v>
      </c>
      <c r="AM71" s="21">
        <v>15</v>
      </c>
      <c r="AN71" s="21">
        <f>H71*0.774657752308182</f>
        <v>0</v>
      </c>
      <c r="AO71" s="21">
        <f>H71*(1-0.774657752308182)</f>
        <v>0</v>
      </c>
      <c r="AP71" s="22" t="s">
        <v>7</v>
      </c>
      <c r="AU71" s="21">
        <f t="shared" si="33"/>
        <v>0</v>
      </c>
      <c r="AV71" s="21">
        <f>G71*AN71</f>
        <v>0</v>
      </c>
      <c r="AW71" s="21">
        <f>G71*AO71</f>
        <v>0</v>
      </c>
      <c r="AX71" s="24" t="s">
        <v>329</v>
      </c>
      <c r="AY71" s="24" t="s">
        <v>344</v>
      </c>
      <c r="AZ71" s="20" t="s">
        <v>356</v>
      </c>
      <c r="BB71" s="21">
        <f t="shared" si="34"/>
        <v>0</v>
      </c>
      <c r="BC71" s="21">
        <f>H71/(100-BD71)*100</f>
        <v>0</v>
      </c>
      <c r="BD71" s="21">
        <v>0</v>
      </c>
      <c r="BE71" s="21">
        <f>71</f>
        <v>71</v>
      </c>
      <c r="BG71" s="14">
        <f>G71*AN71</f>
        <v>0</v>
      </c>
      <c r="BH71" s="14">
        <f>G71*AO71</f>
        <v>0</v>
      </c>
      <c r="BI71" s="14">
        <f t="shared" si="35"/>
        <v>0</v>
      </c>
      <c r="BJ71" s="14" t="s">
        <v>159</v>
      </c>
      <c r="BK71" s="21">
        <v>63</v>
      </c>
    </row>
    <row r="72" spans="1:12" ht="12.75">
      <c r="A72" s="65"/>
      <c r="B72" s="66"/>
      <c r="C72" s="104" t="s">
        <v>227</v>
      </c>
      <c r="D72" s="105"/>
      <c r="E72" s="106"/>
      <c r="F72" s="65" t="s">
        <v>6</v>
      </c>
      <c r="G72" s="65" t="s">
        <v>6</v>
      </c>
      <c r="H72" s="65" t="s">
        <v>6</v>
      </c>
      <c r="I72" s="67">
        <f>I73</f>
        <v>0</v>
      </c>
      <c r="J72" s="67">
        <f>J73</f>
        <v>0</v>
      </c>
      <c r="K72" s="67">
        <f>K73</f>
        <v>0</v>
      </c>
      <c r="L72" s="61"/>
    </row>
    <row r="73" spans="1:46" ht="12.75">
      <c r="A73" s="2"/>
      <c r="B73" s="8" t="s">
        <v>134</v>
      </c>
      <c r="C73" s="98" t="s">
        <v>228</v>
      </c>
      <c r="D73" s="99"/>
      <c r="E73" s="99"/>
      <c r="F73" s="12" t="s">
        <v>6</v>
      </c>
      <c r="G73" s="12" t="s">
        <v>6</v>
      </c>
      <c r="H73" s="12" t="s">
        <v>6</v>
      </c>
      <c r="I73" s="26">
        <f>SUM(I74:I78)</f>
        <v>0</v>
      </c>
      <c r="J73" s="26">
        <f>SUM(J74:J78)</f>
        <v>0</v>
      </c>
      <c r="K73" s="26">
        <f>SUM(K74:K78)</f>
        <v>0</v>
      </c>
      <c r="L73" s="18"/>
      <c r="AH73" s="20" t="s">
        <v>315</v>
      </c>
      <c r="AR73" s="26">
        <f>SUM(AI74:AI78)</f>
        <v>0</v>
      </c>
      <c r="AS73" s="26">
        <f>SUM(AJ74:AJ78)</f>
        <v>0</v>
      </c>
      <c r="AT73" s="26">
        <f>SUM(AK74:AK78)</f>
        <v>0</v>
      </c>
    </row>
    <row r="74" spans="1:63" ht="12.75">
      <c r="A74" s="3" t="s">
        <v>51</v>
      </c>
      <c r="B74" s="9" t="s">
        <v>135</v>
      </c>
      <c r="C74" s="100" t="s">
        <v>229</v>
      </c>
      <c r="D74" s="101"/>
      <c r="E74" s="101"/>
      <c r="F74" s="9" t="s">
        <v>282</v>
      </c>
      <c r="G74" s="14">
        <v>60.1</v>
      </c>
      <c r="H74" s="14">
        <v>0</v>
      </c>
      <c r="I74" s="14">
        <f>G74*AN74</f>
        <v>0</v>
      </c>
      <c r="J74" s="14">
        <f>G74*AO74</f>
        <v>0</v>
      </c>
      <c r="K74" s="14">
        <f>G74*H74</f>
        <v>0</v>
      </c>
      <c r="L74" s="18"/>
      <c r="Y74" s="21">
        <f>IF(AP74="5",BI74,0)</f>
        <v>0</v>
      </c>
      <c r="AA74" s="21">
        <f>IF(AP74="1",BG74,0)</f>
        <v>0</v>
      </c>
      <c r="AB74" s="21">
        <f>IF(AP74="1",BH74,0)</f>
        <v>0</v>
      </c>
      <c r="AC74" s="21">
        <f>IF(AP74="7",BG74,0)</f>
        <v>0</v>
      </c>
      <c r="AD74" s="21">
        <f>IF(AP74="7",BH74,0)</f>
        <v>0</v>
      </c>
      <c r="AE74" s="21">
        <f>IF(AP74="2",BG74,0)</f>
        <v>0</v>
      </c>
      <c r="AF74" s="21">
        <f>IF(AP74="2",BH74,0)</f>
        <v>0</v>
      </c>
      <c r="AG74" s="21">
        <f>IF(AP74="0",BI74,0)</f>
        <v>0</v>
      </c>
      <c r="AH74" s="20" t="s">
        <v>315</v>
      </c>
      <c r="AI74" s="14">
        <f>IF(AM74=0,K74,0)</f>
        <v>0</v>
      </c>
      <c r="AJ74" s="14">
        <f>IF(AM74=15,K74,0)</f>
        <v>0</v>
      </c>
      <c r="AK74" s="14">
        <f>IF(AM74=21,K74,0)</f>
        <v>0</v>
      </c>
      <c r="AM74" s="21">
        <v>15</v>
      </c>
      <c r="AN74" s="21">
        <f>H74*0.236775362318841</f>
        <v>0</v>
      </c>
      <c r="AO74" s="21">
        <f>H74*(1-0.236775362318841)</f>
        <v>0</v>
      </c>
      <c r="AP74" s="22" t="s">
        <v>13</v>
      </c>
      <c r="AU74" s="21">
        <f>AV74+AW74</f>
        <v>0</v>
      </c>
      <c r="AV74" s="21">
        <f>G74*AN74</f>
        <v>0</v>
      </c>
      <c r="AW74" s="21">
        <f>G74*AO74</f>
        <v>0</v>
      </c>
      <c r="AX74" s="24" t="s">
        <v>330</v>
      </c>
      <c r="AY74" s="24" t="s">
        <v>345</v>
      </c>
      <c r="AZ74" s="20" t="s">
        <v>357</v>
      </c>
      <c r="BB74" s="21">
        <f>AV74+AW74</f>
        <v>0</v>
      </c>
      <c r="BC74" s="21">
        <f>H74/(100-BD74)*100</f>
        <v>0</v>
      </c>
      <c r="BD74" s="21">
        <v>0</v>
      </c>
      <c r="BE74" s="21">
        <f>74</f>
        <v>74</v>
      </c>
      <c r="BG74" s="14">
        <f>G74*AN74</f>
        <v>0</v>
      </c>
      <c r="BH74" s="14">
        <f>G74*AO74</f>
        <v>0</v>
      </c>
      <c r="BI74" s="14">
        <f>G74*H74</f>
        <v>0</v>
      </c>
      <c r="BJ74" s="14" t="s">
        <v>159</v>
      </c>
      <c r="BK74" s="21">
        <v>711</v>
      </c>
    </row>
    <row r="75" spans="1:63" ht="12.75">
      <c r="A75" s="3" t="s">
        <v>52</v>
      </c>
      <c r="B75" s="9" t="s">
        <v>135</v>
      </c>
      <c r="C75" s="100" t="s">
        <v>230</v>
      </c>
      <c r="D75" s="101"/>
      <c r="E75" s="101"/>
      <c r="F75" s="9" t="s">
        <v>282</v>
      </c>
      <c r="G75" s="14">
        <v>107.4</v>
      </c>
      <c r="H75" s="14">
        <v>0</v>
      </c>
      <c r="I75" s="14">
        <f>G75*AN75</f>
        <v>0</v>
      </c>
      <c r="J75" s="14">
        <f>G75*AO75</f>
        <v>0</v>
      </c>
      <c r="K75" s="14">
        <f>G75*H75</f>
        <v>0</v>
      </c>
      <c r="L75" s="18"/>
      <c r="Y75" s="21">
        <f>IF(AP75="5",BI75,0)</f>
        <v>0</v>
      </c>
      <c r="AA75" s="21">
        <f>IF(AP75="1",BG75,0)</f>
        <v>0</v>
      </c>
      <c r="AB75" s="21">
        <f>IF(AP75="1",BH75,0)</f>
        <v>0</v>
      </c>
      <c r="AC75" s="21">
        <f>IF(AP75="7",BG75,0)</f>
        <v>0</v>
      </c>
      <c r="AD75" s="21">
        <f>IF(AP75="7",BH75,0)</f>
        <v>0</v>
      </c>
      <c r="AE75" s="21">
        <f>IF(AP75="2",BG75,0)</f>
        <v>0</v>
      </c>
      <c r="AF75" s="21">
        <f>IF(AP75="2",BH75,0)</f>
        <v>0</v>
      </c>
      <c r="AG75" s="21">
        <f>IF(AP75="0",BI75,0)</f>
        <v>0</v>
      </c>
      <c r="AH75" s="20" t="s">
        <v>315</v>
      </c>
      <c r="AI75" s="14">
        <f>IF(AM75=0,K75,0)</f>
        <v>0</v>
      </c>
      <c r="AJ75" s="14">
        <f>IF(AM75=15,K75,0)</f>
        <v>0</v>
      </c>
      <c r="AK75" s="14">
        <f>IF(AM75=21,K75,0)</f>
        <v>0</v>
      </c>
      <c r="AM75" s="21">
        <v>15</v>
      </c>
      <c r="AN75" s="21">
        <f>H75*0.236775362318841</f>
        <v>0</v>
      </c>
      <c r="AO75" s="21">
        <f>H75*(1-0.236775362318841)</f>
        <v>0</v>
      </c>
      <c r="AP75" s="22" t="s">
        <v>13</v>
      </c>
      <c r="AU75" s="21">
        <f>AV75+AW75</f>
        <v>0</v>
      </c>
      <c r="AV75" s="21">
        <f>G75*AN75</f>
        <v>0</v>
      </c>
      <c r="AW75" s="21">
        <f>G75*AO75</f>
        <v>0</v>
      </c>
      <c r="AX75" s="24" t="s">
        <v>330</v>
      </c>
      <c r="AY75" s="24" t="s">
        <v>345</v>
      </c>
      <c r="AZ75" s="20" t="s">
        <v>357</v>
      </c>
      <c r="BB75" s="21">
        <f>AV75+AW75</f>
        <v>0</v>
      </c>
      <c r="BC75" s="21">
        <f>H75/(100-BD75)*100</f>
        <v>0</v>
      </c>
      <c r="BD75" s="21">
        <v>0</v>
      </c>
      <c r="BE75" s="21">
        <f>75</f>
        <v>75</v>
      </c>
      <c r="BG75" s="14">
        <f>G75*AN75</f>
        <v>0</v>
      </c>
      <c r="BH75" s="14">
        <f>G75*AO75</f>
        <v>0</v>
      </c>
      <c r="BI75" s="14">
        <f>G75*H75</f>
        <v>0</v>
      </c>
      <c r="BJ75" s="14" t="s">
        <v>159</v>
      </c>
      <c r="BK75" s="21">
        <v>711</v>
      </c>
    </row>
    <row r="76" spans="1:63" ht="12.75">
      <c r="A76" s="3" t="s">
        <v>53</v>
      </c>
      <c r="B76" s="9" t="s">
        <v>136</v>
      </c>
      <c r="C76" s="100" t="s">
        <v>231</v>
      </c>
      <c r="D76" s="101"/>
      <c r="E76" s="101"/>
      <c r="F76" s="9" t="s">
        <v>282</v>
      </c>
      <c r="G76" s="14">
        <v>60.1</v>
      </c>
      <c r="H76" s="14">
        <v>0</v>
      </c>
      <c r="I76" s="14">
        <f>G76*AN76</f>
        <v>0</v>
      </c>
      <c r="J76" s="14">
        <f>G76*AO76</f>
        <v>0</v>
      </c>
      <c r="K76" s="14">
        <f>G76*H76</f>
        <v>0</v>
      </c>
      <c r="L76" s="18"/>
      <c r="Y76" s="21">
        <f>IF(AP76="5",BI76,0)</f>
        <v>0</v>
      </c>
      <c r="AA76" s="21">
        <f>IF(AP76="1",BG76,0)</f>
        <v>0</v>
      </c>
      <c r="AB76" s="21">
        <f>IF(AP76="1",BH76,0)</f>
        <v>0</v>
      </c>
      <c r="AC76" s="21">
        <f>IF(AP76="7",BG76,0)</f>
        <v>0</v>
      </c>
      <c r="AD76" s="21">
        <f>IF(AP76="7",BH76,0)</f>
        <v>0</v>
      </c>
      <c r="AE76" s="21">
        <f>IF(AP76="2",BG76,0)</f>
        <v>0</v>
      </c>
      <c r="AF76" s="21">
        <f>IF(AP76="2",BH76,0)</f>
        <v>0</v>
      </c>
      <c r="AG76" s="21">
        <f>IF(AP76="0",BI76,0)</f>
        <v>0</v>
      </c>
      <c r="AH76" s="20" t="s">
        <v>315</v>
      </c>
      <c r="AI76" s="14">
        <f>IF(AM76=0,K76,0)</f>
        <v>0</v>
      </c>
      <c r="AJ76" s="14">
        <f>IF(AM76=15,K76,0)</f>
        <v>0</v>
      </c>
      <c r="AK76" s="14">
        <f>IF(AM76=21,K76,0)</f>
        <v>0</v>
      </c>
      <c r="AM76" s="21">
        <v>15</v>
      </c>
      <c r="AN76" s="21">
        <f>H76*0.773695652173913</f>
        <v>0</v>
      </c>
      <c r="AO76" s="21">
        <f>H76*(1-0.773695652173913)</f>
        <v>0</v>
      </c>
      <c r="AP76" s="22" t="s">
        <v>13</v>
      </c>
      <c r="AU76" s="21">
        <f>AV76+AW76</f>
        <v>0</v>
      </c>
      <c r="AV76" s="21">
        <f>G76*AN76</f>
        <v>0</v>
      </c>
      <c r="AW76" s="21">
        <f>G76*AO76</f>
        <v>0</v>
      </c>
      <c r="AX76" s="24" t="s">
        <v>330</v>
      </c>
      <c r="AY76" s="24" t="s">
        <v>345</v>
      </c>
      <c r="AZ76" s="20" t="s">
        <v>357</v>
      </c>
      <c r="BB76" s="21">
        <f>AV76+AW76</f>
        <v>0</v>
      </c>
      <c r="BC76" s="21">
        <f>H76/(100-BD76)*100</f>
        <v>0</v>
      </c>
      <c r="BD76" s="21">
        <v>0</v>
      </c>
      <c r="BE76" s="21">
        <f>76</f>
        <v>76</v>
      </c>
      <c r="BG76" s="14">
        <f>G76*AN76</f>
        <v>0</v>
      </c>
      <c r="BH76" s="14">
        <f>G76*AO76</f>
        <v>0</v>
      </c>
      <c r="BI76" s="14">
        <f>G76*H76</f>
        <v>0</v>
      </c>
      <c r="BJ76" s="14" t="s">
        <v>159</v>
      </c>
      <c r="BK76" s="21">
        <v>711</v>
      </c>
    </row>
    <row r="77" spans="1:63" ht="12.75">
      <c r="A77" s="3" t="s">
        <v>54</v>
      </c>
      <c r="B77" s="9" t="s">
        <v>136</v>
      </c>
      <c r="C77" s="100" t="s">
        <v>232</v>
      </c>
      <c r="D77" s="101"/>
      <c r="E77" s="101"/>
      <c r="F77" s="9" t="s">
        <v>282</v>
      </c>
      <c r="G77" s="14">
        <v>107.4</v>
      </c>
      <c r="H77" s="14">
        <v>0</v>
      </c>
      <c r="I77" s="14">
        <f>G77*AN77</f>
        <v>0</v>
      </c>
      <c r="J77" s="14">
        <f>G77*AO77</f>
        <v>0</v>
      </c>
      <c r="K77" s="14">
        <f>G77*H77</f>
        <v>0</v>
      </c>
      <c r="L77" s="18"/>
      <c r="Y77" s="21">
        <f>IF(AP77="5",BI77,0)</f>
        <v>0</v>
      </c>
      <c r="AA77" s="21">
        <f>IF(AP77="1",BG77,0)</f>
        <v>0</v>
      </c>
      <c r="AB77" s="21">
        <f>IF(AP77="1",BH77,0)</f>
        <v>0</v>
      </c>
      <c r="AC77" s="21">
        <f>IF(AP77="7",BG77,0)</f>
        <v>0</v>
      </c>
      <c r="AD77" s="21">
        <f>IF(AP77="7",BH77,0)</f>
        <v>0</v>
      </c>
      <c r="AE77" s="21">
        <f>IF(AP77="2",BG77,0)</f>
        <v>0</v>
      </c>
      <c r="AF77" s="21">
        <f>IF(AP77="2",BH77,0)</f>
        <v>0</v>
      </c>
      <c r="AG77" s="21">
        <f>IF(AP77="0",BI77,0)</f>
        <v>0</v>
      </c>
      <c r="AH77" s="20" t="s">
        <v>315</v>
      </c>
      <c r="AI77" s="14">
        <f>IF(AM77=0,K77,0)</f>
        <v>0</v>
      </c>
      <c r="AJ77" s="14">
        <f>IF(AM77=15,K77,0)</f>
        <v>0</v>
      </c>
      <c r="AK77" s="14">
        <f>IF(AM77=21,K77,0)</f>
        <v>0</v>
      </c>
      <c r="AM77" s="21">
        <v>15</v>
      </c>
      <c r="AN77" s="21">
        <f>H77*0.773695652173913</f>
        <v>0</v>
      </c>
      <c r="AO77" s="21">
        <f>H77*(1-0.773695652173913)</f>
        <v>0</v>
      </c>
      <c r="AP77" s="22" t="s">
        <v>13</v>
      </c>
      <c r="AU77" s="21">
        <f>AV77+AW77</f>
        <v>0</v>
      </c>
      <c r="AV77" s="21">
        <f>G77*AN77</f>
        <v>0</v>
      </c>
      <c r="AW77" s="21">
        <f>G77*AO77</f>
        <v>0</v>
      </c>
      <c r="AX77" s="24" t="s">
        <v>330</v>
      </c>
      <c r="AY77" s="24" t="s">
        <v>345</v>
      </c>
      <c r="AZ77" s="20" t="s">
        <v>357</v>
      </c>
      <c r="BB77" s="21">
        <f>AV77+AW77</f>
        <v>0</v>
      </c>
      <c r="BC77" s="21">
        <f>H77/(100-BD77)*100</f>
        <v>0</v>
      </c>
      <c r="BD77" s="21">
        <v>0</v>
      </c>
      <c r="BE77" s="21">
        <f>77</f>
        <v>77</v>
      </c>
      <c r="BG77" s="14">
        <f>G77*AN77</f>
        <v>0</v>
      </c>
      <c r="BH77" s="14">
        <f>G77*AO77</f>
        <v>0</v>
      </c>
      <c r="BI77" s="14">
        <f>G77*H77</f>
        <v>0</v>
      </c>
      <c r="BJ77" s="14" t="s">
        <v>159</v>
      </c>
      <c r="BK77" s="21">
        <v>711</v>
      </c>
    </row>
    <row r="78" spans="1:63" ht="12.75">
      <c r="A78" s="3" t="s">
        <v>55</v>
      </c>
      <c r="B78" s="9" t="s">
        <v>137</v>
      </c>
      <c r="C78" s="100" t="s">
        <v>233</v>
      </c>
      <c r="D78" s="101"/>
      <c r="E78" s="101"/>
      <c r="F78" s="9" t="s">
        <v>284</v>
      </c>
      <c r="G78" s="14">
        <v>134</v>
      </c>
      <c r="H78" s="14">
        <v>0</v>
      </c>
      <c r="I78" s="14">
        <f>G78*AN78</f>
        <v>0</v>
      </c>
      <c r="J78" s="14">
        <f>G78*AO78</f>
        <v>0</v>
      </c>
      <c r="K78" s="14">
        <f>G78*H78</f>
        <v>0</v>
      </c>
      <c r="L78" s="18"/>
      <c r="Y78" s="21">
        <f>IF(AP78="5",BI78,0)</f>
        <v>0</v>
      </c>
      <c r="AA78" s="21">
        <f>IF(AP78="1",BG78,0)</f>
        <v>0</v>
      </c>
      <c r="AB78" s="21">
        <f>IF(AP78="1",BH78,0)</f>
        <v>0</v>
      </c>
      <c r="AC78" s="21">
        <f>IF(AP78="7",BG78,0)</f>
        <v>0</v>
      </c>
      <c r="AD78" s="21">
        <f>IF(AP78="7",BH78,0)</f>
        <v>0</v>
      </c>
      <c r="AE78" s="21">
        <f>IF(AP78="2",BG78,0)</f>
        <v>0</v>
      </c>
      <c r="AF78" s="21">
        <f>IF(AP78="2",BH78,0)</f>
        <v>0</v>
      </c>
      <c r="AG78" s="21">
        <f>IF(AP78="0",BI78,0)</f>
        <v>0</v>
      </c>
      <c r="AH78" s="20" t="s">
        <v>315</v>
      </c>
      <c r="AI78" s="14">
        <f>IF(AM78=0,K78,0)</f>
        <v>0</v>
      </c>
      <c r="AJ78" s="14">
        <f>IF(AM78=15,K78,0)</f>
        <v>0</v>
      </c>
      <c r="AK78" s="14">
        <f>IF(AM78=21,K78,0)</f>
        <v>0</v>
      </c>
      <c r="AM78" s="21">
        <v>15</v>
      </c>
      <c r="AN78" s="21">
        <f>H78*0.617467248908297</f>
        <v>0</v>
      </c>
      <c r="AO78" s="21">
        <f>H78*(1-0.617467248908297)</f>
        <v>0</v>
      </c>
      <c r="AP78" s="22" t="s">
        <v>13</v>
      </c>
      <c r="AU78" s="21">
        <f>AV78+AW78</f>
        <v>0</v>
      </c>
      <c r="AV78" s="21">
        <f>G78*AN78</f>
        <v>0</v>
      </c>
      <c r="AW78" s="21">
        <f>G78*AO78</f>
        <v>0</v>
      </c>
      <c r="AX78" s="24" t="s">
        <v>330</v>
      </c>
      <c r="AY78" s="24" t="s">
        <v>345</v>
      </c>
      <c r="AZ78" s="20" t="s">
        <v>357</v>
      </c>
      <c r="BB78" s="21">
        <f>AV78+AW78</f>
        <v>0</v>
      </c>
      <c r="BC78" s="21">
        <f>H78/(100-BD78)*100</f>
        <v>0</v>
      </c>
      <c r="BD78" s="21">
        <v>0</v>
      </c>
      <c r="BE78" s="21">
        <f>78</f>
        <v>78</v>
      </c>
      <c r="BG78" s="14">
        <f>G78*AN78</f>
        <v>0</v>
      </c>
      <c r="BH78" s="14">
        <f>G78*AO78</f>
        <v>0</v>
      </c>
      <c r="BI78" s="14">
        <f>G78*H78</f>
        <v>0</v>
      </c>
      <c r="BJ78" s="14" t="s">
        <v>159</v>
      </c>
      <c r="BK78" s="21">
        <v>711</v>
      </c>
    </row>
    <row r="79" spans="1:12" ht="12.75">
      <c r="A79" s="65"/>
      <c r="B79" s="66"/>
      <c r="C79" s="104" t="s">
        <v>234</v>
      </c>
      <c r="D79" s="105"/>
      <c r="E79" s="106"/>
      <c r="F79" s="65" t="s">
        <v>6</v>
      </c>
      <c r="G79" s="65" t="s">
        <v>6</v>
      </c>
      <c r="H79" s="65" t="s">
        <v>6</v>
      </c>
      <c r="I79" s="67">
        <f>I80+I87</f>
        <v>0</v>
      </c>
      <c r="J79" s="67">
        <f>J80+J87</f>
        <v>0</v>
      </c>
      <c r="K79" s="67">
        <f>K80+K87</f>
        <v>0</v>
      </c>
      <c r="L79" s="61"/>
    </row>
    <row r="80" spans="1:46" ht="12.75">
      <c r="A80" s="2"/>
      <c r="B80" s="8" t="s">
        <v>138</v>
      </c>
      <c r="C80" s="98" t="s">
        <v>235</v>
      </c>
      <c r="D80" s="99"/>
      <c r="E80" s="99"/>
      <c r="F80" s="12" t="s">
        <v>6</v>
      </c>
      <c r="G80" s="12" t="s">
        <v>6</v>
      </c>
      <c r="H80" s="12" t="s">
        <v>6</v>
      </c>
      <c r="I80" s="26">
        <f>SUM(I81:I86)</f>
        <v>0</v>
      </c>
      <c r="J80" s="26">
        <f>SUM(J81:J86)</f>
        <v>0</v>
      </c>
      <c r="K80" s="26">
        <f>SUM(K81:K86)</f>
        <v>0</v>
      </c>
      <c r="L80" s="18"/>
      <c r="AH80" s="20" t="s">
        <v>316</v>
      </c>
      <c r="AR80" s="26">
        <f>SUM(AI81:AI86)</f>
        <v>0</v>
      </c>
      <c r="AS80" s="26">
        <f>SUM(AJ81:AJ86)</f>
        <v>0</v>
      </c>
      <c r="AT80" s="26">
        <f>SUM(AK81:AK86)</f>
        <v>0</v>
      </c>
    </row>
    <row r="81" spans="1:63" ht="12.75">
      <c r="A81" s="3" t="s">
        <v>56</v>
      </c>
      <c r="B81" s="9" t="s">
        <v>139</v>
      </c>
      <c r="C81" s="100" t="s">
        <v>236</v>
      </c>
      <c r="D81" s="101"/>
      <c r="E81" s="101"/>
      <c r="F81" s="9" t="s">
        <v>282</v>
      </c>
      <c r="G81" s="14">
        <v>163.9</v>
      </c>
      <c r="H81" s="14">
        <v>0</v>
      </c>
      <c r="I81" s="14">
        <f>G81*AN81</f>
        <v>0</v>
      </c>
      <c r="J81" s="14">
        <f>G81*AO81</f>
        <v>0</v>
      </c>
      <c r="K81" s="14">
        <f aca="true" t="shared" si="36" ref="K81:K86">G81*H81</f>
        <v>0</v>
      </c>
      <c r="L81" s="18"/>
      <c r="Y81" s="21">
        <f aca="true" t="shared" si="37" ref="Y81:Y86">IF(AP81="5",BI81,0)</f>
        <v>0</v>
      </c>
      <c r="AA81" s="21">
        <f aca="true" t="shared" si="38" ref="AA81:AA86">IF(AP81="1",BG81,0)</f>
        <v>0</v>
      </c>
      <c r="AB81" s="21">
        <f aca="true" t="shared" si="39" ref="AB81:AB86">IF(AP81="1",BH81,0)</f>
        <v>0</v>
      </c>
      <c r="AC81" s="21">
        <f aca="true" t="shared" si="40" ref="AC81:AC86">IF(AP81="7",BG81,0)</f>
        <v>0</v>
      </c>
      <c r="AD81" s="21">
        <f aca="true" t="shared" si="41" ref="AD81:AD86">IF(AP81="7",BH81,0)</f>
        <v>0</v>
      </c>
      <c r="AE81" s="21">
        <f aca="true" t="shared" si="42" ref="AE81:AE86">IF(AP81="2",BG81,0)</f>
        <v>0</v>
      </c>
      <c r="AF81" s="21">
        <f aca="true" t="shared" si="43" ref="AF81:AF86">IF(AP81="2",BH81,0)</f>
        <v>0</v>
      </c>
      <c r="AG81" s="21">
        <f aca="true" t="shared" si="44" ref="AG81:AG86">IF(AP81="0",BI81,0)</f>
        <v>0</v>
      </c>
      <c r="AH81" s="20" t="s">
        <v>316</v>
      </c>
      <c r="AI81" s="14">
        <f>IF(AM81=0,K81,0)</f>
        <v>0</v>
      </c>
      <c r="AJ81" s="14">
        <f>IF(AM81=15,K81,0)</f>
        <v>0</v>
      </c>
      <c r="AK81" s="14">
        <f>IF(AM81=21,K81,0)</f>
        <v>0</v>
      </c>
      <c r="AM81" s="21">
        <v>15</v>
      </c>
      <c r="AN81" s="21">
        <f>H81*0</f>
        <v>0</v>
      </c>
      <c r="AO81" s="21">
        <f>H81*(1-0)</f>
        <v>0</v>
      </c>
      <c r="AP81" s="22" t="s">
        <v>13</v>
      </c>
      <c r="AU81" s="21">
        <f aca="true" t="shared" si="45" ref="AU81:AU86">AV81+AW81</f>
        <v>0</v>
      </c>
      <c r="AV81" s="21">
        <f>G81*AN81</f>
        <v>0</v>
      </c>
      <c r="AW81" s="21">
        <f>G81*AO81</f>
        <v>0</v>
      </c>
      <c r="AX81" s="24" t="s">
        <v>331</v>
      </c>
      <c r="AY81" s="24" t="s">
        <v>346</v>
      </c>
      <c r="AZ81" s="20" t="s">
        <v>358</v>
      </c>
      <c r="BB81" s="21">
        <f aca="true" t="shared" si="46" ref="BB81:BB86">AV81+AW81</f>
        <v>0</v>
      </c>
      <c r="BC81" s="21">
        <f>H81/(100-BD81)*100</f>
        <v>0</v>
      </c>
      <c r="BD81" s="21">
        <v>0</v>
      </c>
      <c r="BE81" s="21">
        <f>81</f>
        <v>81</v>
      </c>
      <c r="BG81" s="14">
        <f>G81*AN81</f>
        <v>0</v>
      </c>
      <c r="BH81" s="14">
        <f>G81*AO81</f>
        <v>0</v>
      </c>
      <c r="BI81" s="14">
        <f aca="true" t="shared" si="47" ref="BI81:BI86">G81*H81</f>
        <v>0</v>
      </c>
      <c r="BJ81" s="14" t="s">
        <v>159</v>
      </c>
      <c r="BK81" s="21">
        <v>771</v>
      </c>
    </row>
    <row r="82" spans="1:63" ht="12.75">
      <c r="A82" s="3" t="s">
        <v>57</v>
      </c>
      <c r="B82" s="9" t="s">
        <v>140</v>
      </c>
      <c r="C82" s="100" t="s">
        <v>237</v>
      </c>
      <c r="D82" s="101"/>
      <c r="E82" s="101"/>
      <c r="F82" s="9" t="s">
        <v>282</v>
      </c>
      <c r="G82" s="14">
        <v>163.9</v>
      </c>
      <c r="H82" s="14">
        <v>0</v>
      </c>
      <c r="I82" s="14">
        <f>G82*AN82</f>
        <v>0</v>
      </c>
      <c r="J82" s="14">
        <f>G82*AO82</f>
        <v>0</v>
      </c>
      <c r="K82" s="14">
        <f t="shared" si="36"/>
        <v>0</v>
      </c>
      <c r="L82" s="18"/>
      <c r="Y82" s="21">
        <f t="shared" si="37"/>
        <v>0</v>
      </c>
      <c r="AA82" s="21">
        <f t="shared" si="38"/>
        <v>0</v>
      </c>
      <c r="AB82" s="21">
        <f t="shared" si="39"/>
        <v>0</v>
      </c>
      <c r="AC82" s="21">
        <f t="shared" si="40"/>
        <v>0</v>
      </c>
      <c r="AD82" s="21">
        <f t="shared" si="41"/>
        <v>0</v>
      </c>
      <c r="AE82" s="21">
        <f t="shared" si="42"/>
        <v>0</v>
      </c>
      <c r="AF82" s="21">
        <f t="shared" si="43"/>
        <v>0</v>
      </c>
      <c r="AG82" s="21">
        <f t="shared" si="44"/>
        <v>0</v>
      </c>
      <c r="AH82" s="20" t="s">
        <v>316</v>
      </c>
      <c r="AI82" s="14">
        <f>IF(AM82=0,K82,0)</f>
        <v>0</v>
      </c>
      <c r="AJ82" s="14">
        <f>IF(AM82=15,K82,0)</f>
        <v>0</v>
      </c>
      <c r="AK82" s="14">
        <f>IF(AM82=21,K82,0)</f>
        <v>0</v>
      </c>
      <c r="AM82" s="21">
        <v>15</v>
      </c>
      <c r="AN82" s="21">
        <f>H82*0.180071334150183</f>
        <v>0</v>
      </c>
      <c r="AO82" s="21">
        <f>H82*(1-0.180071334150183)</f>
        <v>0</v>
      </c>
      <c r="AP82" s="22" t="s">
        <v>13</v>
      </c>
      <c r="AU82" s="21">
        <f t="shared" si="45"/>
        <v>0</v>
      </c>
      <c r="AV82" s="21">
        <f>G82*AN82</f>
        <v>0</v>
      </c>
      <c r="AW82" s="21">
        <f>G82*AO82</f>
        <v>0</v>
      </c>
      <c r="AX82" s="24" t="s">
        <v>331</v>
      </c>
      <c r="AY82" s="24" t="s">
        <v>346</v>
      </c>
      <c r="AZ82" s="20" t="s">
        <v>358</v>
      </c>
      <c r="BB82" s="21">
        <f t="shared" si="46"/>
        <v>0</v>
      </c>
      <c r="BC82" s="21">
        <f>H82/(100-BD82)*100</f>
        <v>0</v>
      </c>
      <c r="BD82" s="21">
        <v>0</v>
      </c>
      <c r="BE82" s="21">
        <f>82</f>
        <v>82</v>
      </c>
      <c r="BG82" s="14">
        <f>G82*AN82</f>
        <v>0</v>
      </c>
      <c r="BH82" s="14">
        <f>G82*AO82</f>
        <v>0</v>
      </c>
      <c r="BI82" s="14">
        <f t="shared" si="47"/>
        <v>0</v>
      </c>
      <c r="BJ82" s="14" t="s">
        <v>159</v>
      </c>
      <c r="BK82" s="21">
        <v>771</v>
      </c>
    </row>
    <row r="83" spans="1:63" ht="12.75">
      <c r="A83" s="62" t="s">
        <v>58</v>
      </c>
      <c r="B83" s="63" t="s">
        <v>141</v>
      </c>
      <c r="C83" s="102" t="s">
        <v>238</v>
      </c>
      <c r="D83" s="103"/>
      <c r="E83" s="103"/>
      <c r="F83" s="63" t="s">
        <v>282</v>
      </c>
      <c r="G83" s="64">
        <v>30.24</v>
      </c>
      <c r="H83" s="64">
        <v>0</v>
      </c>
      <c r="I83" s="64">
        <f>G83*AN83</f>
        <v>0</v>
      </c>
      <c r="J83" s="64">
        <f>G83*AO83</f>
        <v>0</v>
      </c>
      <c r="K83" s="64">
        <f t="shared" si="36"/>
        <v>0</v>
      </c>
      <c r="L83" s="18"/>
      <c r="Y83" s="21">
        <f t="shared" si="37"/>
        <v>0</v>
      </c>
      <c r="AA83" s="21">
        <f t="shared" si="38"/>
        <v>0</v>
      </c>
      <c r="AB83" s="21">
        <f t="shared" si="39"/>
        <v>0</v>
      </c>
      <c r="AC83" s="21">
        <f t="shared" si="40"/>
        <v>0</v>
      </c>
      <c r="AD83" s="21">
        <f t="shared" si="41"/>
        <v>0</v>
      </c>
      <c r="AE83" s="21">
        <f t="shared" si="42"/>
        <v>0</v>
      </c>
      <c r="AF83" s="21">
        <f t="shared" si="43"/>
        <v>0</v>
      </c>
      <c r="AG83" s="21">
        <f t="shared" si="44"/>
        <v>0</v>
      </c>
      <c r="AH83" s="20" t="s">
        <v>316</v>
      </c>
      <c r="AI83" s="15">
        <f>IF(AM83=0,K83,0)</f>
        <v>0</v>
      </c>
      <c r="AJ83" s="15">
        <f>IF(AM83=15,K83,0)</f>
        <v>0</v>
      </c>
      <c r="AK83" s="15">
        <f>IF(AM83=21,K83,0)</f>
        <v>0</v>
      </c>
      <c r="AM83" s="21">
        <v>15</v>
      </c>
      <c r="AN83" s="21">
        <f>H83*1</f>
        <v>0</v>
      </c>
      <c r="AO83" s="21">
        <f>H83*(1-1)</f>
        <v>0</v>
      </c>
      <c r="AP83" s="23" t="s">
        <v>13</v>
      </c>
      <c r="AU83" s="21">
        <f t="shared" si="45"/>
        <v>0</v>
      </c>
      <c r="AV83" s="21">
        <f>G83*AN83</f>
        <v>0</v>
      </c>
      <c r="AW83" s="21">
        <f>G83*AO83</f>
        <v>0</v>
      </c>
      <c r="AX83" s="24" t="s">
        <v>331</v>
      </c>
      <c r="AY83" s="24" t="s">
        <v>346</v>
      </c>
      <c r="AZ83" s="20" t="s">
        <v>358</v>
      </c>
      <c r="BB83" s="21">
        <f t="shared" si="46"/>
        <v>0</v>
      </c>
      <c r="BC83" s="21">
        <f>H83/(100-BD83)*100</f>
        <v>0</v>
      </c>
      <c r="BD83" s="21">
        <v>0</v>
      </c>
      <c r="BE83" s="21">
        <f>83</f>
        <v>83</v>
      </c>
      <c r="BG83" s="15">
        <f>G83*AN83</f>
        <v>0</v>
      </c>
      <c r="BH83" s="15">
        <f>G83*AO83</f>
        <v>0</v>
      </c>
      <c r="BI83" s="15">
        <f t="shared" si="47"/>
        <v>0</v>
      </c>
      <c r="BJ83" s="15" t="s">
        <v>367</v>
      </c>
      <c r="BK83" s="21">
        <v>771</v>
      </c>
    </row>
    <row r="84" spans="1:63" ht="12.75">
      <c r="A84" s="62" t="s">
        <v>59</v>
      </c>
      <c r="B84" s="63" t="s">
        <v>141</v>
      </c>
      <c r="C84" s="102" t="s">
        <v>239</v>
      </c>
      <c r="D84" s="103"/>
      <c r="E84" s="103"/>
      <c r="F84" s="63" t="s">
        <v>282</v>
      </c>
      <c r="G84" s="64">
        <v>38.88</v>
      </c>
      <c r="H84" s="64">
        <v>0</v>
      </c>
      <c r="I84" s="64">
        <f>G84*AN84</f>
        <v>0</v>
      </c>
      <c r="J84" s="64">
        <f>G84*AO84</f>
        <v>0</v>
      </c>
      <c r="K84" s="64">
        <f t="shared" si="36"/>
        <v>0</v>
      </c>
      <c r="L84" s="18"/>
      <c r="Y84" s="21">
        <f t="shared" si="37"/>
        <v>0</v>
      </c>
      <c r="AA84" s="21">
        <f t="shared" si="38"/>
        <v>0</v>
      </c>
      <c r="AB84" s="21">
        <f t="shared" si="39"/>
        <v>0</v>
      </c>
      <c r="AC84" s="21">
        <f t="shared" si="40"/>
        <v>0</v>
      </c>
      <c r="AD84" s="21">
        <f t="shared" si="41"/>
        <v>0</v>
      </c>
      <c r="AE84" s="21">
        <f t="shared" si="42"/>
        <v>0</v>
      </c>
      <c r="AF84" s="21">
        <f t="shared" si="43"/>
        <v>0</v>
      </c>
      <c r="AG84" s="21">
        <f t="shared" si="44"/>
        <v>0</v>
      </c>
      <c r="AH84" s="20" t="s">
        <v>316</v>
      </c>
      <c r="AI84" s="15">
        <f>IF(AM84=0,K84,0)</f>
        <v>0</v>
      </c>
      <c r="AJ84" s="15">
        <f>IF(AM84=15,K84,0)</f>
        <v>0</v>
      </c>
      <c r="AK84" s="15">
        <f>IF(AM84=21,K84,0)</f>
        <v>0</v>
      </c>
      <c r="AM84" s="21">
        <v>15</v>
      </c>
      <c r="AN84" s="21">
        <f>H84*1</f>
        <v>0</v>
      </c>
      <c r="AO84" s="21">
        <f>H84*(1-1)</f>
        <v>0</v>
      </c>
      <c r="AP84" s="23" t="s">
        <v>13</v>
      </c>
      <c r="AU84" s="21">
        <f t="shared" si="45"/>
        <v>0</v>
      </c>
      <c r="AV84" s="21">
        <f>G84*AN84</f>
        <v>0</v>
      </c>
      <c r="AW84" s="21">
        <f>G84*AO84</f>
        <v>0</v>
      </c>
      <c r="AX84" s="24" t="s">
        <v>331</v>
      </c>
      <c r="AY84" s="24" t="s">
        <v>346</v>
      </c>
      <c r="AZ84" s="20" t="s">
        <v>358</v>
      </c>
      <c r="BB84" s="21">
        <f t="shared" si="46"/>
        <v>0</v>
      </c>
      <c r="BC84" s="21">
        <f>H84/(100-BD84)*100</f>
        <v>0</v>
      </c>
      <c r="BD84" s="21">
        <v>0</v>
      </c>
      <c r="BE84" s="21">
        <f>84</f>
        <v>84</v>
      </c>
      <c r="BG84" s="15">
        <f>G84*AN84</f>
        <v>0</v>
      </c>
      <c r="BH84" s="15">
        <f>G84*AO84</f>
        <v>0</v>
      </c>
      <c r="BI84" s="15">
        <f t="shared" si="47"/>
        <v>0</v>
      </c>
      <c r="BJ84" s="15" t="s">
        <v>367</v>
      </c>
      <c r="BK84" s="21">
        <v>771</v>
      </c>
    </row>
    <row r="85" spans="1:63" ht="12.75">
      <c r="A85" s="62" t="s">
        <v>60</v>
      </c>
      <c r="B85" s="63" t="s">
        <v>141</v>
      </c>
      <c r="C85" s="102" t="s">
        <v>240</v>
      </c>
      <c r="D85" s="103"/>
      <c r="E85" s="103"/>
      <c r="F85" s="63" t="s">
        <v>282</v>
      </c>
      <c r="G85" s="64">
        <v>112.32</v>
      </c>
      <c r="H85" s="64">
        <v>0</v>
      </c>
      <c r="I85" s="64">
        <f>G85*AN85</f>
        <v>0</v>
      </c>
      <c r="J85" s="64">
        <f>G85*AO85</f>
        <v>0</v>
      </c>
      <c r="K85" s="64">
        <f t="shared" si="36"/>
        <v>0</v>
      </c>
      <c r="L85" s="18"/>
      <c r="Y85" s="21">
        <f t="shared" si="37"/>
        <v>0</v>
      </c>
      <c r="AA85" s="21">
        <f t="shared" si="38"/>
        <v>0</v>
      </c>
      <c r="AB85" s="21">
        <f t="shared" si="39"/>
        <v>0</v>
      </c>
      <c r="AC85" s="21">
        <f t="shared" si="40"/>
        <v>0</v>
      </c>
      <c r="AD85" s="21">
        <f t="shared" si="41"/>
        <v>0</v>
      </c>
      <c r="AE85" s="21">
        <f t="shared" si="42"/>
        <v>0</v>
      </c>
      <c r="AF85" s="21">
        <f t="shared" si="43"/>
        <v>0</v>
      </c>
      <c r="AG85" s="21">
        <f t="shared" si="44"/>
        <v>0</v>
      </c>
      <c r="AH85" s="20" t="s">
        <v>316</v>
      </c>
      <c r="AI85" s="15">
        <f>IF(AM85=0,K85,0)</f>
        <v>0</v>
      </c>
      <c r="AJ85" s="15">
        <f>IF(AM85=15,K85,0)</f>
        <v>0</v>
      </c>
      <c r="AK85" s="15">
        <f>IF(AM85=21,K85,0)</f>
        <v>0</v>
      </c>
      <c r="AM85" s="21">
        <v>15</v>
      </c>
      <c r="AN85" s="21">
        <f>H85*1</f>
        <v>0</v>
      </c>
      <c r="AO85" s="21">
        <f>H85*(1-1)</f>
        <v>0</v>
      </c>
      <c r="AP85" s="23" t="s">
        <v>13</v>
      </c>
      <c r="AU85" s="21">
        <f t="shared" si="45"/>
        <v>0</v>
      </c>
      <c r="AV85" s="21">
        <f>G85*AN85</f>
        <v>0</v>
      </c>
      <c r="AW85" s="21">
        <f>G85*AO85</f>
        <v>0</v>
      </c>
      <c r="AX85" s="24" t="s">
        <v>331</v>
      </c>
      <c r="AY85" s="24" t="s">
        <v>346</v>
      </c>
      <c r="AZ85" s="20" t="s">
        <v>358</v>
      </c>
      <c r="BB85" s="21">
        <f t="shared" si="46"/>
        <v>0</v>
      </c>
      <c r="BC85" s="21">
        <f>H85/(100-BD85)*100</f>
        <v>0</v>
      </c>
      <c r="BD85" s="21">
        <v>0</v>
      </c>
      <c r="BE85" s="21">
        <f>85</f>
        <v>85</v>
      </c>
      <c r="BG85" s="15">
        <f>G85*AN85</f>
        <v>0</v>
      </c>
      <c r="BH85" s="15">
        <f>G85*AO85</f>
        <v>0</v>
      </c>
      <c r="BI85" s="15">
        <f t="shared" si="47"/>
        <v>0</v>
      </c>
      <c r="BJ85" s="15" t="s">
        <v>367</v>
      </c>
      <c r="BK85" s="21">
        <v>771</v>
      </c>
    </row>
    <row r="86" spans="1:63" ht="12.75">
      <c r="A86" s="3" t="s">
        <v>61</v>
      </c>
      <c r="B86" s="9" t="s">
        <v>142</v>
      </c>
      <c r="C86" s="100" t="s">
        <v>241</v>
      </c>
      <c r="D86" s="101"/>
      <c r="E86" s="101"/>
      <c r="F86" s="9" t="s">
        <v>284</v>
      </c>
      <c r="G86" s="14">
        <v>5.4</v>
      </c>
      <c r="H86" s="14">
        <v>0</v>
      </c>
      <c r="I86" s="14">
        <f>G86*AN86</f>
        <v>0</v>
      </c>
      <c r="J86" s="14">
        <f>G86*AO86</f>
        <v>0</v>
      </c>
      <c r="K86" s="14">
        <f t="shared" si="36"/>
        <v>0</v>
      </c>
      <c r="L86" s="18"/>
      <c r="Y86" s="21">
        <f t="shared" si="37"/>
        <v>0</v>
      </c>
      <c r="AA86" s="21">
        <f t="shared" si="38"/>
        <v>0</v>
      </c>
      <c r="AB86" s="21">
        <f t="shared" si="39"/>
        <v>0</v>
      </c>
      <c r="AC86" s="21">
        <f t="shared" si="40"/>
        <v>0</v>
      </c>
      <c r="AD86" s="21">
        <f t="shared" si="41"/>
        <v>0</v>
      </c>
      <c r="AE86" s="21">
        <f t="shared" si="42"/>
        <v>0</v>
      </c>
      <c r="AF86" s="21">
        <f t="shared" si="43"/>
        <v>0</v>
      </c>
      <c r="AG86" s="21">
        <f t="shared" si="44"/>
        <v>0</v>
      </c>
      <c r="AH86" s="20" t="s">
        <v>316</v>
      </c>
      <c r="AI86" s="14">
        <f>IF(AM86=0,K86,0)</f>
        <v>0</v>
      </c>
      <c r="AJ86" s="14">
        <f>IF(AM86=15,K86,0)</f>
        <v>0</v>
      </c>
      <c r="AK86" s="14">
        <f>IF(AM86=21,K86,0)</f>
        <v>0</v>
      </c>
      <c r="AM86" s="21">
        <v>15</v>
      </c>
      <c r="AN86" s="21">
        <f>H86*0</f>
        <v>0</v>
      </c>
      <c r="AO86" s="21">
        <f>H86*(1-0)</f>
        <v>0</v>
      </c>
      <c r="AP86" s="22" t="s">
        <v>13</v>
      </c>
      <c r="AU86" s="21">
        <f t="shared" si="45"/>
        <v>0</v>
      </c>
      <c r="AV86" s="21">
        <f>G86*AN86</f>
        <v>0</v>
      </c>
      <c r="AW86" s="21">
        <f>G86*AO86</f>
        <v>0</v>
      </c>
      <c r="AX86" s="24" t="s">
        <v>331</v>
      </c>
      <c r="AY86" s="24" t="s">
        <v>346</v>
      </c>
      <c r="AZ86" s="20" t="s">
        <v>358</v>
      </c>
      <c r="BB86" s="21">
        <f t="shared" si="46"/>
        <v>0</v>
      </c>
      <c r="BC86" s="21">
        <f>H86/(100-BD86)*100</f>
        <v>0</v>
      </c>
      <c r="BD86" s="21">
        <v>0</v>
      </c>
      <c r="BE86" s="21">
        <f>86</f>
        <v>86</v>
      </c>
      <c r="BG86" s="14">
        <f>G86*AN86</f>
        <v>0</v>
      </c>
      <c r="BH86" s="14">
        <f>G86*AO86</f>
        <v>0</v>
      </c>
      <c r="BI86" s="14">
        <f t="shared" si="47"/>
        <v>0</v>
      </c>
      <c r="BJ86" s="14" t="s">
        <v>159</v>
      </c>
      <c r="BK86" s="21">
        <v>771</v>
      </c>
    </row>
    <row r="87" spans="1:46" ht="12.75">
      <c r="A87" s="2"/>
      <c r="B87" s="8" t="s">
        <v>143</v>
      </c>
      <c r="C87" s="98" t="s">
        <v>242</v>
      </c>
      <c r="D87" s="99"/>
      <c r="E87" s="99"/>
      <c r="F87" s="12" t="s">
        <v>6</v>
      </c>
      <c r="G87" s="12" t="s">
        <v>6</v>
      </c>
      <c r="H87" s="12" t="s">
        <v>6</v>
      </c>
      <c r="I87" s="26">
        <f>SUM(I88:I96)</f>
        <v>0</v>
      </c>
      <c r="J87" s="26">
        <f>SUM(J88:J96)</f>
        <v>0</v>
      </c>
      <c r="K87" s="26">
        <f>SUM(K88:K96)</f>
        <v>0</v>
      </c>
      <c r="L87" s="18"/>
      <c r="AH87" s="20" t="s">
        <v>316</v>
      </c>
      <c r="AR87" s="26">
        <f>SUM(AI88:AI96)</f>
        <v>0</v>
      </c>
      <c r="AS87" s="26">
        <f>SUM(AJ88:AJ96)</f>
        <v>0</v>
      </c>
      <c r="AT87" s="26">
        <f>SUM(AK88:AK96)</f>
        <v>0</v>
      </c>
    </row>
    <row r="88" spans="1:63" ht="12.75">
      <c r="A88" s="3" t="s">
        <v>62</v>
      </c>
      <c r="B88" s="9" t="s">
        <v>144</v>
      </c>
      <c r="C88" s="100" t="s">
        <v>243</v>
      </c>
      <c r="D88" s="101"/>
      <c r="E88" s="101"/>
      <c r="F88" s="9" t="s">
        <v>282</v>
      </c>
      <c r="G88" s="14">
        <v>198</v>
      </c>
      <c r="H88" s="14">
        <v>0</v>
      </c>
      <c r="I88" s="14">
        <f>G88*AN88</f>
        <v>0</v>
      </c>
      <c r="J88" s="14">
        <f>G88*AO88</f>
        <v>0</v>
      </c>
      <c r="K88" s="14">
        <f aca="true" t="shared" si="48" ref="K88:K96">G88*H88</f>
        <v>0</v>
      </c>
      <c r="L88" s="18"/>
      <c r="Y88" s="21">
        <f aca="true" t="shared" si="49" ref="Y88:Y96">IF(AP88="5",BI88,0)</f>
        <v>0</v>
      </c>
      <c r="AA88" s="21">
        <f aca="true" t="shared" si="50" ref="AA88:AA96">IF(AP88="1",BG88,0)</f>
        <v>0</v>
      </c>
      <c r="AB88" s="21">
        <f aca="true" t="shared" si="51" ref="AB88:AB96">IF(AP88="1",BH88,0)</f>
        <v>0</v>
      </c>
      <c r="AC88" s="21">
        <f aca="true" t="shared" si="52" ref="AC88:AC96">IF(AP88="7",BG88,0)</f>
        <v>0</v>
      </c>
      <c r="AD88" s="21">
        <f aca="true" t="shared" si="53" ref="AD88:AD96">IF(AP88="7",BH88,0)</f>
        <v>0</v>
      </c>
      <c r="AE88" s="21">
        <f aca="true" t="shared" si="54" ref="AE88:AE96">IF(AP88="2",BG88,0)</f>
        <v>0</v>
      </c>
      <c r="AF88" s="21">
        <f aca="true" t="shared" si="55" ref="AF88:AF96">IF(AP88="2",BH88,0)</f>
        <v>0</v>
      </c>
      <c r="AG88" s="21">
        <f aca="true" t="shared" si="56" ref="AG88:AG96">IF(AP88="0",BI88,0)</f>
        <v>0</v>
      </c>
      <c r="AH88" s="20" t="s">
        <v>316</v>
      </c>
      <c r="AI88" s="14">
        <f>IF(AM88=0,K88,0)</f>
        <v>0</v>
      </c>
      <c r="AJ88" s="14">
        <f>IF(AM88=15,K88,0)</f>
        <v>0</v>
      </c>
      <c r="AK88" s="14">
        <f>IF(AM88=21,K88,0)</f>
        <v>0</v>
      </c>
      <c r="AM88" s="21">
        <v>15</v>
      </c>
      <c r="AN88" s="21">
        <f>H88*0.137277108433735</f>
        <v>0</v>
      </c>
      <c r="AO88" s="21">
        <f>H88*(1-0.137277108433735)</f>
        <v>0</v>
      </c>
      <c r="AP88" s="22" t="s">
        <v>13</v>
      </c>
      <c r="AU88" s="21">
        <f aca="true" t="shared" si="57" ref="AU88:AU96">AV88+AW88</f>
        <v>0</v>
      </c>
      <c r="AV88" s="21">
        <f>G88*AN88</f>
        <v>0</v>
      </c>
      <c r="AW88" s="21">
        <f>G88*AO88</f>
        <v>0</v>
      </c>
      <c r="AX88" s="24" t="s">
        <v>332</v>
      </c>
      <c r="AY88" s="24" t="s">
        <v>347</v>
      </c>
      <c r="AZ88" s="20" t="s">
        <v>358</v>
      </c>
      <c r="BB88" s="21">
        <f aca="true" t="shared" si="58" ref="BB88:BB96">AV88+AW88</f>
        <v>0</v>
      </c>
      <c r="BC88" s="21">
        <f>H88/(100-BD88)*100</f>
        <v>0</v>
      </c>
      <c r="BD88" s="21">
        <v>0</v>
      </c>
      <c r="BE88" s="21">
        <f>88</f>
        <v>88</v>
      </c>
      <c r="BG88" s="14">
        <f>G88*AN88</f>
        <v>0</v>
      </c>
      <c r="BH88" s="14">
        <f>G88*AO88</f>
        <v>0</v>
      </c>
      <c r="BI88" s="14">
        <f aca="true" t="shared" si="59" ref="BI88:BI96">G88*H88</f>
        <v>0</v>
      </c>
      <c r="BJ88" s="14" t="s">
        <v>159</v>
      </c>
      <c r="BK88" s="21">
        <v>781</v>
      </c>
    </row>
    <row r="89" spans="1:63" ht="12.75">
      <c r="A89" s="3" t="s">
        <v>63</v>
      </c>
      <c r="B89" s="9" t="s">
        <v>139</v>
      </c>
      <c r="C89" s="100" t="s">
        <v>244</v>
      </c>
      <c r="D89" s="101"/>
      <c r="E89" s="101"/>
      <c r="F89" s="9" t="s">
        <v>282</v>
      </c>
      <c r="G89" s="14">
        <v>209</v>
      </c>
      <c r="H89" s="14">
        <v>0</v>
      </c>
      <c r="I89" s="14">
        <f>G89*AN89</f>
        <v>0</v>
      </c>
      <c r="J89" s="14">
        <f>G89*AO89</f>
        <v>0</v>
      </c>
      <c r="K89" s="14">
        <f t="shared" si="48"/>
        <v>0</v>
      </c>
      <c r="L89" s="18"/>
      <c r="Y89" s="21">
        <f t="shared" si="49"/>
        <v>0</v>
      </c>
      <c r="AA89" s="21">
        <f t="shared" si="50"/>
        <v>0</v>
      </c>
      <c r="AB89" s="21">
        <f t="shared" si="51"/>
        <v>0</v>
      </c>
      <c r="AC89" s="21">
        <f t="shared" si="52"/>
        <v>0</v>
      </c>
      <c r="AD89" s="21">
        <f t="shared" si="53"/>
        <v>0</v>
      </c>
      <c r="AE89" s="21">
        <f t="shared" si="54"/>
        <v>0</v>
      </c>
      <c r="AF89" s="21">
        <f t="shared" si="55"/>
        <v>0</v>
      </c>
      <c r="AG89" s="21">
        <f t="shared" si="56"/>
        <v>0</v>
      </c>
      <c r="AH89" s="20" t="s">
        <v>316</v>
      </c>
      <c r="AI89" s="14">
        <f>IF(AM89=0,K89,0)</f>
        <v>0</v>
      </c>
      <c r="AJ89" s="14">
        <f>IF(AM89=15,K89,0)</f>
        <v>0</v>
      </c>
      <c r="AK89" s="14">
        <f>IF(AM89=21,K89,0)</f>
        <v>0</v>
      </c>
      <c r="AM89" s="21">
        <v>15</v>
      </c>
      <c r="AN89" s="21">
        <f>H89*0</f>
        <v>0</v>
      </c>
      <c r="AO89" s="21">
        <f>H89*(1-0)</f>
        <v>0</v>
      </c>
      <c r="AP89" s="22" t="s">
        <v>13</v>
      </c>
      <c r="AU89" s="21">
        <f t="shared" si="57"/>
        <v>0</v>
      </c>
      <c r="AV89" s="21">
        <f>G89*AN89</f>
        <v>0</v>
      </c>
      <c r="AW89" s="21">
        <f>G89*AO89</f>
        <v>0</v>
      </c>
      <c r="AX89" s="24" t="s">
        <v>332</v>
      </c>
      <c r="AY89" s="24" t="s">
        <v>347</v>
      </c>
      <c r="AZ89" s="20" t="s">
        <v>358</v>
      </c>
      <c r="BB89" s="21">
        <f t="shared" si="58"/>
        <v>0</v>
      </c>
      <c r="BC89" s="21">
        <f>H89/(100-BD89)*100</f>
        <v>0</v>
      </c>
      <c r="BD89" s="21">
        <v>0</v>
      </c>
      <c r="BE89" s="21">
        <f>89</f>
        <v>89</v>
      </c>
      <c r="BG89" s="14">
        <f>G89*AN89</f>
        <v>0</v>
      </c>
      <c r="BH89" s="14">
        <f>G89*AO89</f>
        <v>0</v>
      </c>
      <c r="BI89" s="14">
        <f t="shared" si="59"/>
        <v>0</v>
      </c>
      <c r="BJ89" s="14" t="s">
        <v>159</v>
      </c>
      <c r="BK89" s="21">
        <v>781</v>
      </c>
    </row>
    <row r="90" spans="1:63" ht="12.75">
      <c r="A90" s="3" t="s">
        <v>64</v>
      </c>
      <c r="B90" s="9" t="s">
        <v>145</v>
      </c>
      <c r="C90" s="100" t="s">
        <v>245</v>
      </c>
      <c r="D90" s="101"/>
      <c r="E90" s="101"/>
      <c r="F90" s="9" t="s">
        <v>284</v>
      </c>
      <c r="G90" s="14">
        <v>108</v>
      </c>
      <c r="H90" s="14">
        <v>0</v>
      </c>
      <c r="I90" s="14">
        <f>G90*AN90</f>
        <v>0</v>
      </c>
      <c r="J90" s="14">
        <f>G90*AO90</f>
        <v>0</v>
      </c>
      <c r="K90" s="14">
        <f t="shared" si="48"/>
        <v>0</v>
      </c>
      <c r="L90" s="18"/>
      <c r="Y90" s="21">
        <f t="shared" si="49"/>
        <v>0</v>
      </c>
      <c r="AA90" s="21">
        <f t="shared" si="50"/>
        <v>0</v>
      </c>
      <c r="AB90" s="21">
        <f t="shared" si="51"/>
        <v>0</v>
      </c>
      <c r="AC90" s="21">
        <f t="shared" si="52"/>
        <v>0</v>
      </c>
      <c r="AD90" s="21">
        <f t="shared" si="53"/>
        <v>0</v>
      </c>
      <c r="AE90" s="21">
        <f t="shared" si="54"/>
        <v>0</v>
      </c>
      <c r="AF90" s="21">
        <f t="shared" si="55"/>
        <v>0</v>
      </c>
      <c r="AG90" s="21">
        <f t="shared" si="56"/>
        <v>0</v>
      </c>
      <c r="AH90" s="20" t="s">
        <v>316</v>
      </c>
      <c r="AI90" s="14">
        <f>IF(AM90=0,K90,0)</f>
        <v>0</v>
      </c>
      <c r="AJ90" s="14">
        <f>IF(AM90=15,K90,0)</f>
        <v>0</v>
      </c>
      <c r="AK90" s="14">
        <f>IF(AM90=21,K90,0)</f>
        <v>0</v>
      </c>
      <c r="AM90" s="21">
        <v>15</v>
      </c>
      <c r="AN90" s="21">
        <f>H90*0.0784126984126984</f>
        <v>0</v>
      </c>
      <c r="AO90" s="21">
        <f>H90*(1-0.0784126984126984)</f>
        <v>0</v>
      </c>
      <c r="AP90" s="22" t="s">
        <v>13</v>
      </c>
      <c r="AU90" s="21">
        <f t="shared" si="57"/>
        <v>0</v>
      </c>
      <c r="AV90" s="21">
        <f>G90*AN90</f>
        <v>0</v>
      </c>
      <c r="AW90" s="21">
        <f>G90*AO90</f>
        <v>0</v>
      </c>
      <c r="AX90" s="24" t="s">
        <v>332</v>
      </c>
      <c r="AY90" s="24" t="s">
        <v>347</v>
      </c>
      <c r="AZ90" s="20" t="s">
        <v>358</v>
      </c>
      <c r="BB90" s="21">
        <f t="shared" si="58"/>
        <v>0</v>
      </c>
      <c r="BC90" s="21">
        <f>H90/(100-BD90)*100</f>
        <v>0</v>
      </c>
      <c r="BD90" s="21">
        <v>0</v>
      </c>
      <c r="BE90" s="21">
        <f>90</f>
        <v>90</v>
      </c>
      <c r="BG90" s="14">
        <f>G90*AN90</f>
        <v>0</v>
      </c>
      <c r="BH90" s="14">
        <f>G90*AO90</f>
        <v>0</v>
      </c>
      <c r="BI90" s="14">
        <f t="shared" si="59"/>
        <v>0</v>
      </c>
      <c r="BJ90" s="14" t="s">
        <v>159</v>
      </c>
      <c r="BK90" s="21">
        <v>781</v>
      </c>
    </row>
    <row r="91" spans="1:63" ht="12.75">
      <c r="A91" s="62" t="s">
        <v>65</v>
      </c>
      <c r="B91" s="63" t="s">
        <v>141</v>
      </c>
      <c r="C91" s="102" t="s">
        <v>246</v>
      </c>
      <c r="D91" s="103"/>
      <c r="E91" s="103"/>
      <c r="F91" s="63" t="s">
        <v>282</v>
      </c>
      <c r="G91" s="64">
        <v>228.6</v>
      </c>
      <c r="H91" s="64">
        <v>0</v>
      </c>
      <c r="I91" s="64">
        <f>G91*AN91</f>
        <v>0</v>
      </c>
      <c r="J91" s="64">
        <f>G91*AO91</f>
        <v>0</v>
      </c>
      <c r="K91" s="64">
        <f t="shared" si="48"/>
        <v>0</v>
      </c>
      <c r="L91" s="18"/>
      <c r="Y91" s="21">
        <f t="shared" si="49"/>
        <v>0</v>
      </c>
      <c r="AA91" s="21">
        <f t="shared" si="50"/>
        <v>0</v>
      </c>
      <c r="AB91" s="21">
        <f t="shared" si="51"/>
        <v>0</v>
      </c>
      <c r="AC91" s="21">
        <f t="shared" si="52"/>
        <v>0</v>
      </c>
      <c r="AD91" s="21">
        <f t="shared" si="53"/>
        <v>0</v>
      </c>
      <c r="AE91" s="21">
        <f t="shared" si="54"/>
        <v>0</v>
      </c>
      <c r="AF91" s="21">
        <f t="shared" si="55"/>
        <v>0</v>
      </c>
      <c r="AG91" s="21">
        <f t="shared" si="56"/>
        <v>0</v>
      </c>
      <c r="AH91" s="20" t="s">
        <v>316</v>
      </c>
      <c r="AI91" s="15">
        <f>IF(AM91=0,K91,0)</f>
        <v>0</v>
      </c>
      <c r="AJ91" s="15">
        <f>IF(AM91=15,K91,0)</f>
        <v>0</v>
      </c>
      <c r="AK91" s="15">
        <f>IF(AM91=21,K91,0)</f>
        <v>0</v>
      </c>
      <c r="AM91" s="21">
        <v>15</v>
      </c>
      <c r="AN91" s="21">
        <f>H91*1</f>
        <v>0</v>
      </c>
      <c r="AO91" s="21">
        <f>H91*(1-1)</f>
        <v>0</v>
      </c>
      <c r="AP91" s="23" t="s">
        <v>13</v>
      </c>
      <c r="AU91" s="21">
        <f t="shared" si="57"/>
        <v>0</v>
      </c>
      <c r="AV91" s="21">
        <f>G91*AN91</f>
        <v>0</v>
      </c>
      <c r="AW91" s="21">
        <f>G91*AO91</f>
        <v>0</v>
      </c>
      <c r="AX91" s="24" t="s">
        <v>332</v>
      </c>
      <c r="AY91" s="24" t="s">
        <v>347</v>
      </c>
      <c r="AZ91" s="20" t="s">
        <v>358</v>
      </c>
      <c r="BB91" s="21">
        <f t="shared" si="58"/>
        <v>0</v>
      </c>
      <c r="BC91" s="21">
        <f>H91/(100-BD91)*100</f>
        <v>0</v>
      </c>
      <c r="BD91" s="21">
        <v>0</v>
      </c>
      <c r="BE91" s="21">
        <f>91</f>
        <v>91</v>
      </c>
      <c r="BG91" s="15">
        <f>G91*AN91</f>
        <v>0</v>
      </c>
      <c r="BH91" s="15">
        <f>G91*AO91</f>
        <v>0</v>
      </c>
      <c r="BI91" s="15">
        <f t="shared" si="59"/>
        <v>0</v>
      </c>
      <c r="BJ91" s="15" t="s">
        <v>367</v>
      </c>
      <c r="BK91" s="21">
        <v>781</v>
      </c>
    </row>
    <row r="92" spans="1:63" ht="12.75">
      <c r="A92" s="3" t="s">
        <v>66</v>
      </c>
      <c r="B92" s="9" t="s">
        <v>146</v>
      </c>
      <c r="C92" s="100" t="s">
        <v>247</v>
      </c>
      <c r="D92" s="101"/>
      <c r="E92" s="101"/>
      <c r="F92" s="9" t="s">
        <v>284</v>
      </c>
      <c r="G92" s="14">
        <v>108</v>
      </c>
      <c r="H92" s="14">
        <v>0</v>
      </c>
      <c r="I92" s="14">
        <f>G92*AN92</f>
        <v>0</v>
      </c>
      <c r="J92" s="14">
        <f>G92*AO92</f>
        <v>0</v>
      </c>
      <c r="K92" s="14">
        <f t="shared" si="48"/>
        <v>0</v>
      </c>
      <c r="L92" s="18"/>
      <c r="Y92" s="21">
        <f t="shared" si="49"/>
        <v>0</v>
      </c>
      <c r="AA92" s="21">
        <f t="shared" si="50"/>
        <v>0</v>
      </c>
      <c r="AB92" s="21">
        <f t="shared" si="51"/>
        <v>0</v>
      </c>
      <c r="AC92" s="21">
        <f t="shared" si="52"/>
        <v>0</v>
      </c>
      <c r="AD92" s="21">
        <f t="shared" si="53"/>
        <v>0</v>
      </c>
      <c r="AE92" s="21">
        <f t="shared" si="54"/>
        <v>0</v>
      </c>
      <c r="AF92" s="21">
        <f t="shared" si="55"/>
        <v>0</v>
      </c>
      <c r="AG92" s="21">
        <f t="shared" si="56"/>
        <v>0</v>
      </c>
      <c r="AH92" s="20" t="s">
        <v>316</v>
      </c>
      <c r="AI92" s="14">
        <f>IF(AM92=0,K92,0)</f>
        <v>0</v>
      </c>
      <c r="AJ92" s="14">
        <f>IF(AM92=15,K92,0)</f>
        <v>0</v>
      </c>
      <c r="AK92" s="14">
        <f>IF(AM92=21,K92,0)</f>
        <v>0</v>
      </c>
      <c r="AM92" s="21">
        <v>15</v>
      </c>
      <c r="AN92" s="21">
        <f>H92*0.0587852494577007</f>
        <v>0</v>
      </c>
      <c r="AO92" s="21">
        <f>H92*(1-0.0587852494577007)</f>
        <v>0</v>
      </c>
      <c r="AP92" s="22" t="s">
        <v>13</v>
      </c>
      <c r="AU92" s="21">
        <f t="shared" si="57"/>
        <v>0</v>
      </c>
      <c r="AV92" s="21">
        <f>G92*AN92</f>
        <v>0</v>
      </c>
      <c r="AW92" s="21">
        <f>G92*AO92</f>
        <v>0</v>
      </c>
      <c r="AX92" s="24" t="s">
        <v>332</v>
      </c>
      <c r="AY92" s="24" t="s">
        <v>347</v>
      </c>
      <c r="AZ92" s="20" t="s">
        <v>358</v>
      </c>
      <c r="BB92" s="21">
        <f t="shared" si="58"/>
        <v>0</v>
      </c>
      <c r="BC92" s="21">
        <f>H92/(100-BD92)*100</f>
        <v>0</v>
      </c>
      <c r="BD92" s="21">
        <v>0</v>
      </c>
      <c r="BE92" s="21">
        <f>92</f>
        <v>92</v>
      </c>
      <c r="BG92" s="14">
        <f>G92*AN92</f>
        <v>0</v>
      </c>
      <c r="BH92" s="14">
        <f>G92*AO92</f>
        <v>0</v>
      </c>
      <c r="BI92" s="14">
        <f t="shared" si="59"/>
        <v>0</v>
      </c>
      <c r="BJ92" s="14" t="s">
        <v>159</v>
      </c>
      <c r="BK92" s="21">
        <v>781</v>
      </c>
    </row>
    <row r="93" spans="1:63" ht="12.75">
      <c r="A93" s="3" t="s">
        <v>67</v>
      </c>
      <c r="B93" s="9" t="s">
        <v>147</v>
      </c>
      <c r="C93" s="100" t="s">
        <v>248</v>
      </c>
      <c r="D93" s="101"/>
      <c r="E93" s="101"/>
      <c r="F93" s="9" t="s">
        <v>284</v>
      </c>
      <c r="G93" s="14">
        <v>62.4</v>
      </c>
      <c r="H93" s="14">
        <v>0</v>
      </c>
      <c r="I93" s="14">
        <f>G93*AN93</f>
        <v>0</v>
      </c>
      <c r="J93" s="14">
        <f>G93*AO93</f>
        <v>0</v>
      </c>
      <c r="K93" s="14">
        <f t="shared" si="48"/>
        <v>0</v>
      </c>
      <c r="L93" s="18"/>
      <c r="Y93" s="21">
        <f t="shared" si="49"/>
        <v>0</v>
      </c>
      <c r="AA93" s="21">
        <f t="shared" si="50"/>
        <v>0</v>
      </c>
      <c r="AB93" s="21">
        <f t="shared" si="51"/>
        <v>0</v>
      </c>
      <c r="AC93" s="21">
        <f t="shared" si="52"/>
        <v>0</v>
      </c>
      <c r="AD93" s="21">
        <f t="shared" si="53"/>
        <v>0</v>
      </c>
      <c r="AE93" s="21">
        <f t="shared" si="54"/>
        <v>0</v>
      </c>
      <c r="AF93" s="21">
        <f t="shared" si="55"/>
        <v>0</v>
      </c>
      <c r="AG93" s="21">
        <f t="shared" si="56"/>
        <v>0</v>
      </c>
      <c r="AH93" s="20" t="s">
        <v>316</v>
      </c>
      <c r="AI93" s="14">
        <f>IF(AM93=0,K93,0)</f>
        <v>0</v>
      </c>
      <c r="AJ93" s="14">
        <f>IF(AM93=15,K93,0)</f>
        <v>0</v>
      </c>
      <c r="AK93" s="14">
        <f>IF(AM93=21,K93,0)</f>
        <v>0</v>
      </c>
      <c r="AM93" s="21">
        <v>15</v>
      </c>
      <c r="AN93" s="21">
        <f>H93*0.836537276702961</f>
        <v>0</v>
      </c>
      <c r="AO93" s="21">
        <f>H93*(1-0.836537276702961)</f>
        <v>0</v>
      </c>
      <c r="AP93" s="22" t="s">
        <v>13</v>
      </c>
      <c r="AU93" s="21">
        <f t="shared" si="57"/>
        <v>0</v>
      </c>
      <c r="AV93" s="21">
        <f>G93*AN93</f>
        <v>0</v>
      </c>
      <c r="AW93" s="21">
        <f>G93*AO93</f>
        <v>0</v>
      </c>
      <c r="AX93" s="24" t="s">
        <v>332</v>
      </c>
      <c r="AY93" s="24" t="s">
        <v>347</v>
      </c>
      <c r="AZ93" s="20" t="s">
        <v>358</v>
      </c>
      <c r="BB93" s="21">
        <f t="shared" si="58"/>
        <v>0</v>
      </c>
      <c r="BC93" s="21">
        <f>H93/(100-BD93)*100</f>
        <v>0</v>
      </c>
      <c r="BD93" s="21">
        <v>0</v>
      </c>
      <c r="BE93" s="21">
        <f>93</f>
        <v>93</v>
      </c>
      <c r="BG93" s="14">
        <f>G93*AN93</f>
        <v>0</v>
      </c>
      <c r="BH93" s="14">
        <f>G93*AO93</f>
        <v>0</v>
      </c>
      <c r="BI93" s="14">
        <f t="shared" si="59"/>
        <v>0</v>
      </c>
      <c r="BJ93" s="14" t="s">
        <v>159</v>
      </c>
      <c r="BK93" s="21">
        <v>781</v>
      </c>
    </row>
    <row r="94" spans="1:63" ht="12.75">
      <c r="A94" s="3" t="s">
        <v>68</v>
      </c>
      <c r="B94" s="9" t="s">
        <v>148</v>
      </c>
      <c r="C94" s="100" t="s">
        <v>249</v>
      </c>
      <c r="D94" s="101"/>
      <c r="E94" s="101"/>
      <c r="F94" s="9" t="s">
        <v>284</v>
      </c>
      <c r="G94" s="14">
        <v>238</v>
      </c>
      <c r="H94" s="14">
        <v>0</v>
      </c>
      <c r="I94" s="14">
        <f>G94*AN94</f>
        <v>0</v>
      </c>
      <c r="J94" s="14">
        <f>G94*AO94</f>
        <v>0</v>
      </c>
      <c r="K94" s="14">
        <f t="shared" si="48"/>
        <v>0</v>
      </c>
      <c r="L94" s="18"/>
      <c r="Y94" s="21">
        <f t="shared" si="49"/>
        <v>0</v>
      </c>
      <c r="AA94" s="21">
        <f t="shared" si="50"/>
        <v>0</v>
      </c>
      <c r="AB94" s="21">
        <f t="shared" si="51"/>
        <v>0</v>
      </c>
      <c r="AC94" s="21">
        <f t="shared" si="52"/>
        <v>0</v>
      </c>
      <c r="AD94" s="21">
        <f t="shared" si="53"/>
        <v>0</v>
      </c>
      <c r="AE94" s="21">
        <f t="shared" si="54"/>
        <v>0</v>
      </c>
      <c r="AF94" s="21">
        <f t="shared" si="55"/>
        <v>0</v>
      </c>
      <c r="AG94" s="21">
        <f t="shared" si="56"/>
        <v>0</v>
      </c>
      <c r="AH94" s="20" t="s">
        <v>316</v>
      </c>
      <c r="AI94" s="14">
        <f>IF(AM94=0,K94,0)</f>
        <v>0</v>
      </c>
      <c r="AJ94" s="14">
        <f>IF(AM94=15,K94,0)</f>
        <v>0</v>
      </c>
      <c r="AK94" s="14">
        <f>IF(AM94=21,K94,0)</f>
        <v>0</v>
      </c>
      <c r="AM94" s="21">
        <v>15</v>
      </c>
      <c r="AN94" s="21">
        <f>H94*0</f>
        <v>0</v>
      </c>
      <c r="AO94" s="21">
        <f>H94*(1-0)</f>
        <v>0</v>
      </c>
      <c r="AP94" s="22" t="s">
        <v>13</v>
      </c>
      <c r="AU94" s="21">
        <f t="shared" si="57"/>
        <v>0</v>
      </c>
      <c r="AV94" s="21">
        <f>G94*AN94</f>
        <v>0</v>
      </c>
      <c r="AW94" s="21">
        <f>G94*AO94</f>
        <v>0</v>
      </c>
      <c r="AX94" s="24" t="s">
        <v>332</v>
      </c>
      <c r="AY94" s="24" t="s">
        <v>347</v>
      </c>
      <c r="AZ94" s="20" t="s">
        <v>358</v>
      </c>
      <c r="BB94" s="21">
        <f t="shared" si="58"/>
        <v>0</v>
      </c>
      <c r="BC94" s="21">
        <f>H94/(100-BD94)*100</f>
        <v>0</v>
      </c>
      <c r="BD94" s="21">
        <v>0</v>
      </c>
      <c r="BE94" s="21">
        <f>94</f>
        <v>94</v>
      </c>
      <c r="BG94" s="14">
        <f>G94*AN94</f>
        <v>0</v>
      </c>
      <c r="BH94" s="14">
        <f>G94*AO94</f>
        <v>0</v>
      </c>
      <c r="BI94" s="14">
        <f t="shared" si="59"/>
        <v>0</v>
      </c>
      <c r="BJ94" s="14" t="s">
        <v>159</v>
      </c>
      <c r="BK94" s="21">
        <v>781</v>
      </c>
    </row>
    <row r="95" spans="1:63" ht="12.75">
      <c r="A95" s="3" t="s">
        <v>69</v>
      </c>
      <c r="B95" s="9" t="s">
        <v>149</v>
      </c>
      <c r="C95" s="100" t="s">
        <v>250</v>
      </c>
      <c r="D95" s="101"/>
      <c r="E95" s="101"/>
      <c r="F95" s="9" t="s">
        <v>284</v>
      </c>
      <c r="G95" s="14">
        <v>178</v>
      </c>
      <c r="H95" s="14">
        <v>0</v>
      </c>
      <c r="I95" s="14">
        <f>G95*AN95</f>
        <v>0</v>
      </c>
      <c r="J95" s="14">
        <f>G95*AO95</f>
        <v>0</v>
      </c>
      <c r="K95" s="14">
        <f t="shared" si="48"/>
        <v>0</v>
      </c>
      <c r="L95" s="18"/>
      <c r="Y95" s="21">
        <f t="shared" si="49"/>
        <v>0</v>
      </c>
      <c r="AA95" s="21">
        <f t="shared" si="50"/>
        <v>0</v>
      </c>
      <c r="AB95" s="21">
        <f t="shared" si="51"/>
        <v>0</v>
      </c>
      <c r="AC95" s="21">
        <f t="shared" si="52"/>
        <v>0</v>
      </c>
      <c r="AD95" s="21">
        <f t="shared" si="53"/>
        <v>0</v>
      </c>
      <c r="AE95" s="21">
        <f t="shared" si="54"/>
        <v>0</v>
      </c>
      <c r="AF95" s="21">
        <f t="shared" si="55"/>
        <v>0</v>
      </c>
      <c r="AG95" s="21">
        <f t="shared" si="56"/>
        <v>0</v>
      </c>
      <c r="AH95" s="20" t="s">
        <v>316</v>
      </c>
      <c r="AI95" s="14">
        <f>IF(AM95=0,K95,0)</f>
        <v>0</v>
      </c>
      <c r="AJ95" s="14">
        <f>IF(AM95=15,K95,0)</f>
        <v>0</v>
      </c>
      <c r="AK95" s="14">
        <f>IF(AM95=21,K95,0)</f>
        <v>0</v>
      </c>
      <c r="AM95" s="21">
        <v>15</v>
      </c>
      <c r="AN95" s="21">
        <f>H95*0</f>
        <v>0</v>
      </c>
      <c r="AO95" s="21">
        <f>H95*(1-0)</f>
        <v>0</v>
      </c>
      <c r="AP95" s="22" t="s">
        <v>13</v>
      </c>
      <c r="AU95" s="21">
        <f t="shared" si="57"/>
        <v>0</v>
      </c>
      <c r="AV95" s="21">
        <f>G95*AN95</f>
        <v>0</v>
      </c>
      <c r="AW95" s="21">
        <f>G95*AO95</f>
        <v>0</v>
      </c>
      <c r="AX95" s="24" t="s">
        <v>332</v>
      </c>
      <c r="AY95" s="24" t="s">
        <v>347</v>
      </c>
      <c r="AZ95" s="20" t="s">
        <v>358</v>
      </c>
      <c r="BB95" s="21">
        <f t="shared" si="58"/>
        <v>0</v>
      </c>
      <c r="BC95" s="21">
        <f>H95/(100-BD95)*100</f>
        <v>0</v>
      </c>
      <c r="BD95" s="21">
        <v>0</v>
      </c>
      <c r="BE95" s="21">
        <f>95</f>
        <v>95</v>
      </c>
      <c r="BG95" s="14">
        <f>G95*AN95</f>
        <v>0</v>
      </c>
      <c r="BH95" s="14">
        <f>G95*AO95</f>
        <v>0</v>
      </c>
      <c r="BI95" s="14">
        <f t="shared" si="59"/>
        <v>0</v>
      </c>
      <c r="BJ95" s="14" t="s">
        <v>159</v>
      </c>
      <c r="BK95" s="21">
        <v>781</v>
      </c>
    </row>
    <row r="96" spans="1:63" ht="12.75">
      <c r="A96" s="3" t="s">
        <v>70</v>
      </c>
      <c r="B96" s="9" t="s">
        <v>150</v>
      </c>
      <c r="C96" s="100" t="s">
        <v>251</v>
      </c>
      <c r="D96" s="101"/>
      <c r="E96" s="101"/>
      <c r="F96" s="9" t="s">
        <v>284</v>
      </c>
      <c r="G96" s="14">
        <v>84</v>
      </c>
      <c r="H96" s="14">
        <v>0</v>
      </c>
      <c r="I96" s="14">
        <f>G96*AN96</f>
        <v>0</v>
      </c>
      <c r="J96" s="14">
        <f>G96*AO96</f>
        <v>0</v>
      </c>
      <c r="K96" s="14">
        <f t="shared" si="48"/>
        <v>0</v>
      </c>
      <c r="L96" s="18"/>
      <c r="Y96" s="21">
        <f t="shared" si="49"/>
        <v>0</v>
      </c>
      <c r="AA96" s="21">
        <f t="shared" si="50"/>
        <v>0</v>
      </c>
      <c r="AB96" s="21">
        <f t="shared" si="51"/>
        <v>0</v>
      </c>
      <c r="AC96" s="21">
        <f t="shared" si="52"/>
        <v>0</v>
      </c>
      <c r="AD96" s="21">
        <f t="shared" si="53"/>
        <v>0</v>
      </c>
      <c r="AE96" s="21">
        <f t="shared" si="54"/>
        <v>0</v>
      </c>
      <c r="AF96" s="21">
        <f t="shared" si="55"/>
        <v>0</v>
      </c>
      <c r="AG96" s="21">
        <f t="shared" si="56"/>
        <v>0</v>
      </c>
      <c r="AH96" s="20" t="s">
        <v>316</v>
      </c>
      <c r="AI96" s="14">
        <f>IF(AM96=0,K96,0)</f>
        <v>0</v>
      </c>
      <c r="AJ96" s="14">
        <f>IF(AM96=15,K96,0)</f>
        <v>0</v>
      </c>
      <c r="AK96" s="14">
        <f>IF(AM96=21,K96,0)</f>
        <v>0</v>
      </c>
      <c r="AM96" s="21">
        <v>15</v>
      </c>
      <c r="AN96" s="21">
        <f>H96*0</f>
        <v>0</v>
      </c>
      <c r="AO96" s="21">
        <f>H96*(1-0)</f>
        <v>0</v>
      </c>
      <c r="AP96" s="22" t="s">
        <v>13</v>
      </c>
      <c r="AU96" s="21">
        <f t="shared" si="57"/>
        <v>0</v>
      </c>
      <c r="AV96" s="21">
        <f>G96*AN96</f>
        <v>0</v>
      </c>
      <c r="AW96" s="21">
        <f>G96*AO96</f>
        <v>0</v>
      </c>
      <c r="AX96" s="24" t="s">
        <v>332</v>
      </c>
      <c r="AY96" s="24" t="s">
        <v>347</v>
      </c>
      <c r="AZ96" s="20" t="s">
        <v>358</v>
      </c>
      <c r="BB96" s="21">
        <f t="shared" si="58"/>
        <v>0</v>
      </c>
      <c r="BC96" s="21">
        <f>H96/(100-BD96)*100</f>
        <v>0</v>
      </c>
      <c r="BD96" s="21">
        <v>0</v>
      </c>
      <c r="BE96" s="21">
        <f>96</f>
        <v>96</v>
      </c>
      <c r="BG96" s="14">
        <f>G96*AN96</f>
        <v>0</v>
      </c>
      <c r="BH96" s="14">
        <f>G96*AO96</f>
        <v>0</v>
      </c>
      <c r="BI96" s="14">
        <f t="shared" si="59"/>
        <v>0</v>
      </c>
      <c r="BJ96" s="14" t="s">
        <v>159</v>
      </c>
      <c r="BK96" s="21">
        <v>781</v>
      </c>
    </row>
    <row r="97" spans="1:12" ht="12.75">
      <c r="A97" s="65"/>
      <c r="B97" s="66"/>
      <c r="C97" s="104" t="s">
        <v>252</v>
      </c>
      <c r="D97" s="105"/>
      <c r="E97" s="106"/>
      <c r="F97" s="65" t="s">
        <v>6</v>
      </c>
      <c r="G97" s="65" t="s">
        <v>6</v>
      </c>
      <c r="H97" s="65" t="s">
        <v>6</v>
      </c>
      <c r="I97" s="67">
        <f>I98</f>
        <v>0</v>
      </c>
      <c r="J97" s="67">
        <f>J98</f>
        <v>0</v>
      </c>
      <c r="K97" s="67">
        <f>K98</f>
        <v>0</v>
      </c>
      <c r="L97" s="61"/>
    </row>
    <row r="98" spans="1:46" ht="12.75">
      <c r="A98" s="2"/>
      <c r="B98" s="8" t="s">
        <v>40</v>
      </c>
      <c r="C98" s="98" t="s">
        <v>210</v>
      </c>
      <c r="D98" s="99"/>
      <c r="E98" s="99"/>
      <c r="F98" s="12" t="s">
        <v>6</v>
      </c>
      <c r="G98" s="12" t="s">
        <v>6</v>
      </c>
      <c r="H98" s="12" t="s">
        <v>6</v>
      </c>
      <c r="I98" s="26">
        <f>SUM(I99:I100)</f>
        <v>0</v>
      </c>
      <c r="J98" s="26">
        <f>SUM(J99:J100)</f>
        <v>0</v>
      </c>
      <c r="K98" s="26">
        <f>SUM(K99:K100)</f>
        <v>0</v>
      </c>
      <c r="L98" s="18"/>
      <c r="AH98" s="20" t="s">
        <v>317</v>
      </c>
      <c r="AR98" s="26">
        <f>SUM(AI99:AI100)</f>
        <v>0</v>
      </c>
      <c r="AS98" s="26">
        <f>SUM(AJ99:AJ100)</f>
        <v>0</v>
      </c>
      <c r="AT98" s="26">
        <f>SUM(AK99:AK100)</f>
        <v>0</v>
      </c>
    </row>
    <row r="99" spans="1:63" ht="12.75">
      <c r="A99" s="3" t="s">
        <v>71</v>
      </c>
      <c r="B99" s="9" t="s">
        <v>151</v>
      </c>
      <c r="C99" s="100" t="s">
        <v>253</v>
      </c>
      <c r="D99" s="101"/>
      <c r="E99" s="101"/>
      <c r="F99" s="9" t="s">
        <v>286</v>
      </c>
      <c r="G99" s="14">
        <v>6</v>
      </c>
      <c r="H99" s="14">
        <v>0</v>
      </c>
      <c r="I99" s="14">
        <f>G99*AN99</f>
        <v>0</v>
      </c>
      <c r="J99" s="14">
        <f>G99*AO99</f>
        <v>0</v>
      </c>
      <c r="K99" s="14">
        <f>G99*H99</f>
        <v>0</v>
      </c>
      <c r="L99" s="18"/>
      <c r="Y99" s="21">
        <f>IF(AP99="5",BI99,0)</f>
        <v>0</v>
      </c>
      <c r="AA99" s="21">
        <f>IF(AP99="1",BG99,0)</f>
        <v>0</v>
      </c>
      <c r="AB99" s="21">
        <f>IF(AP99="1",BH99,0)</f>
        <v>0</v>
      </c>
      <c r="AC99" s="21">
        <f>IF(AP99="7",BG99,0)</f>
        <v>0</v>
      </c>
      <c r="AD99" s="21">
        <f>IF(AP99="7",BH99,0)</f>
        <v>0</v>
      </c>
      <c r="AE99" s="21">
        <f>IF(AP99="2",BG99,0)</f>
        <v>0</v>
      </c>
      <c r="AF99" s="21">
        <f>IF(AP99="2",BH99,0)</f>
        <v>0</v>
      </c>
      <c r="AG99" s="21">
        <f>IF(AP99="0",BI99,0)</f>
        <v>0</v>
      </c>
      <c r="AH99" s="20" t="s">
        <v>317</v>
      </c>
      <c r="AI99" s="14">
        <f>IF(AM99=0,K99,0)</f>
        <v>0</v>
      </c>
      <c r="AJ99" s="14">
        <f>IF(AM99=15,K99,0)</f>
        <v>0</v>
      </c>
      <c r="AK99" s="14">
        <f>IF(AM99=21,K99,0)</f>
        <v>0</v>
      </c>
      <c r="AM99" s="21">
        <v>15</v>
      </c>
      <c r="AN99" s="21">
        <f>H99*0.408368</f>
        <v>0</v>
      </c>
      <c r="AO99" s="21">
        <f>H99*(1-0.408368)</f>
        <v>0</v>
      </c>
      <c r="AP99" s="22" t="s">
        <v>7</v>
      </c>
      <c r="AU99" s="21">
        <f>AV99+AW99</f>
        <v>0</v>
      </c>
      <c r="AV99" s="21">
        <f>G99*AN99</f>
        <v>0</v>
      </c>
      <c r="AW99" s="21">
        <f>G99*AO99</f>
        <v>0</v>
      </c>
      <c r="AX99" s="24" t="s">
        <v>325</v>
      </c>
      <c r="AY99" s="24" t="s">
        <v>348</v>
      </c>
      <c r="AZ99" s="20" t="s">
        <v>359</v>
      </c>
      <c r="BB99" s="21">
        <f>AV99+AW99</f>
        <v>0</v>
      </c>
      <c r="BC99" s="21">
        <f>H99/(100-BD99)*100</f>
        <v>0</v>
      </c>
      <c r="BD99" s="21">
        <v>0</v>
      </c>
      <c r="BE99" s="21">
        <f>99</f>
        <v>99</v>
      </c>
      <c r="BG99" s="14">
        <f>G99*AN99</f>
        <v>0</v>
      </c>
      <c r="BH99" s="14">
        <f>G99*AO99</f>
        <v>0</v>
      </c>
      <c r="BI99" s="14">
        <f>G99*H99</f>
        <v>0</v>
      </c>
      <c r="BJ99" s="14" t="s">
        <v>159</v>
      </c>
      <c r="BK99" s="21">
        <v>34</v>
      </c>
    </row>
    <row r="100" spans="1:63" ht="12.75">
      <c r="A100" s="3" t="s">
        <v>72</v>
      </c>
      <c r="B100" s="9" t="s">
        <v>152</v>
      </c>
      <c r="C100" s="100" t="s">
        <v>254</v>
      </c>
      <c r="D100" s="101"/>
      <c r="E100" s="101"/>
      <c r="F100" s="9" t="s">
        <v>286</v>
      </c>
      <c r="G100" s="14">
        <v>3</v>
      </c>
      <c r="H100" s="14">
        <v>0</v>
      </c>
      <c r="I100" s="14">
        <f>G100*AN100</f>
        <v>0</v>
      </c>
      <c r="J100" s="14">
        <f>G100*AO100</f>
        <v>0</v>
      </c>
      <c r="K100" s="14">
        <f>G100*H100</f>
        <v>0</v>
      </c>
      <c r="L100" s="18"/>
      <c r="Y100" s="21">
        <f>IF(AP100="5",BI100,0)</f>
        <v>0</v>
      </c>
      <c r="AA100" s="21">
        <f>IF(AP100="1",BG100,0)</f>
        <v>0</v>
      </c>
      <c r="AB100" s="21">
        <f>IF(AP100="1",BH100,0)</f>
        <v>0</v>
      </c>
      <c r="AC100" s="21">
        <f>IF(AP100="7",BG100,0)</f>
        <v>0</v>
      </c>
      <c r="AD100" s="21">
        <f>IF(AP100="7",BH100,0)</f>
        <v>0</v>
      </c>
      <c r="AE100" s="21">
        <f>IF(AP100="2",BG100,0)</f>
        <v>0</v>
      </c>
      <c r="AF100" s="21">
        <f>IF(AP100="2",BH100,0)</f>
        <v>0</v>
      </c>
      <c r="AG100" s="21">
        <f>IF(AP100="0",BI100,0)</f>
        <v>0</v>
      </c>
      <c r="AH100" s="20" t="s">
        <v>317</v>
      </c>
      <c r="AI100" s="14">
        <f>IF(AM100=0,K100,0)</f>
        <v>0</v>
      </c>
      <c r="AJ100" s="14">
        <f>IF(AM100=15,K100,0)</f>
        <v>0</v>
      </c>
      <c r="AK100" s="14">
        <f>IF(AM100=21,K100,0)</f>
        <v>0</v>
      </c>
      <c r="AM100" s="21">
        <v>15</v>
      </c>
      <c r="AN100" s="21">
        <f>H100*0.430656666666667</f>
        <v>0</v>
      </c>
      <c r="AO100" s="21">
        <f>H100*(1-0.430656666666667)</f>
        <v>0</v>
      </c>
      <c r="AP100" s="22" t="s">
        <v>7</v>
      </c>
      <c r="AU100" s="21">
        <f>AV100+AW100</f>
        <v>0</v>
      </c>
      <c r="AV100" s="21">
        <f>G100*AN100</f>
        <v>0</v>
      </c>
      <c r="AW100" s="21">
        <f>G100*AO100</f>
        <v>0</v>
      </c>
      <c r="AX100" s="24" t="s">
        <v>325</v>
      </c>
      <c r="AY100" s="24" t="s">
        <v>348</v>
      </c>
      <c r="AZ100" s="20" t="s">
        <v>359</v>
      </c>
      <c r="BB100" s="21">
        <f>AV100+AW100</f>
        <v>0</v>
      </c>
      <c r="BC100" s="21">
        <f>H100/(100-BD100)*100</f>
        <v>0</v>
      </c>
      <c r="BD100" s="21">
        <v>0</v>
      </c>
      <c r="BE100" s="21">
        <f>100</f>
        <v>100</v>
      </c>
      <c r="BG100" s="14">
        <f>G100*AN100</f>
        <v>0</v>
      </c>
      <c r="BH100" s="14">
        <f>G100*AO100</f>
        <v>0</v>
      </c>
      <c r="BI100" s="14">
        <f>G100*H100</f>
        <v>0</v>
      </c>
      <c r="BJ100" s="14" t="s">
        <v>159</v>
      </c>
      <c r="BK100" s="21">
        <v>34</v>
      </c>
    </row>
    <row r="101" spans="1:12" ht="12.75">
      <c r="A101" s="65"/>
      <c r="B101" s="66"/>
      <c r="C101" s="104" t="s">
        <v>255</v>
      </c>
      <c r="D101" s="105"/>
      <c r="E101" s="106"/>
      <c r="F101" s="65" t="s">
        <v>6</v>
      </c>
      <c r="G101" s="65" t="s">
        <v>6</v>
      </c>
      <c r="H101" s="65" t="s">
        <v>6</v>
      </c>
      <c r="I101" s="67">
        <f>I102</f>
        <v>0</v>
      </c>
      <c r="J101" s="67">
        <f>J102</f>
        <v>0</v>
      </c>
      <c r="K101" s="67">
        <f>K102</f>
        <v>0</v>
      </c>
      <c r="L101" s="61"/>
    </row>
    <row r="102" spans="1:46" ht="12.75">
      <c r="A102" s="2"/>
      <c r="B102" s="8" t="s">
        <v>153</v>
      </c>
      <c r="C102" s="98" t="s">
        <v>256</v>
      </c>
      <c r="D102" s="99"/>
      <c r="E102" s="99"/>
      <c r="F102" s="12" t="s">
        <v>6</v>
      </c>
      <c r="G102" s="12" t="s">
        <v>6</v>
      </c>
      <c r="H102" s="12" t="s">
        <v>6</v>
      </c>
      <c r="I102" s="26">
        <f>SUM(I103:I106)</f>
        <v>0</v>
      </c>
      <c r="J102" s="26">
        <f>SUM(J103:J106)</f>
        <v>0</v>
      </c>
      <c r="K102" s="26">
        <f>SUM(K103:K106)</f>
        <v>0</v>
      </c>
      <c r="L102" s="18"/>
      <c r="AH102" s="20" t="s">
        <v>318</v>
      </c>
      <c r="AR102" s="26">
        <f>SUM(AI103:AI106)</f>
        <v>0</v>
      </c>
      <c r="AS102" s="26">
        <f>SUM(AJ103:AJ106)</f>
        <v>0</v>
      </c>
      <c r="AT102" s="26">
        <f>SUM(AK103:AK106)</f>
        <v>0</v>
      </c>
    </row>
    <row r="103" spans="1:63" ht="12.75">
      <c r="A103" s="3" t="s">
        <v>73</v>
      </c>
      <c r="B103" s="9" t="s">
        <v>154</v>
      </c>
      <c r="C103" s="100" t="s">
        <v>257</v>
      </c>
      <c r="D103" s="101"/>
      <c r="E103" s="101"/>
      <c r="F103" s="9" t="s">
        <v>281</v>
      </c>
      <c r="G103" s="14">
        <v>6</v>
      </c>
      <c r="H103" s="14">
        <v>0</v>
      </c>
      <c r="I103" s="14">
        <f>G103*AN103</f>
        <v>0</v>
      </c>
      <c r="J103" s="14">
        <f>G103*AO103</f>
        <v>0</v>
      </c>
      <c r="K103" s="14">
        <f>G103*H103</f>
        <v>0</v>
      </c>
      <c r="L103" s="18"/>
      <c r="Y103" s="21">
        <f>IF(AP103="5",BI103,0)</f>
        <v>0</v>
      </c>
      <c r="AA103" s="21">
        <f>IF(AP103="1",BG103,0)</f>
        <v>0</v>
      </c>
      <c r="AB103" s="21">
        <f>IF(AP103="1",BH103,0)</f>
        <v>0</v>
      </c>
      <c r="AC103" s="21">
        <f>IF(AP103="7",BG103,0)</f>
        <v>0</v>
      </c>
      <c r="AD103" s="21">
        <f>IF(AP103="7",BH103,0)</f>
        <v>0</v>
      </c>
      <c r="AE103" s="21">
        <f>IF(AP103="2",BG103,0)</f>
        <v>0</v>
      </c>
      <c r="AF103" s="21">
        <f>IF(AP103="2",BH103,0)</f>
        <v>0</v>
      </c>
      <c r="AG103" s="21">
        <f>IF(AP103="0",BI103,0)</f>
        <v>0</v>
      </c>
      <c r="AH103" s="20" t="s">
        <v>318</v>
      </c>
      <c r="AI103" s="14">
        <f>IF(AM103=0,K103,0)</f>
        <v>0</v>
      </c>
      <c r="AJ103" s="14">
        <f>IF(AM103=15,K103,0)</f>
        <v>0</v>
      </c>
      <c r="AK103" s="14">
        <f>IF(AM103=21,K103,0)</f>
        <v>0</v>
      </c>
      <c r="AM103" s="21">
        <v>15</v>
      </c>
      <c r="AN103" s="21">
        <f>H103*0.0999542857142857</f>
        <v>0</v>
      </c>
      <c r="AO103" s="21">
        <f>H103*(1-0.0999542857142857)</f>
        <v>0</v>
      </c>
      <c r="AP103" s="22" t="s">
        <v>13</v>
      </c>
      <c r="AU103" s="21">
        <f>AV103+AW103</f>
        <v>0</v>
      </c>
      <c r="AV103" s="21">
        <f>G103*AN103</f>
        <v>0</v>
      </c>
      <c r="AW103" s="21">
        <f>G103*AO103</f>
        <v>0</v>
      </c>
      <c r="AX103" s="24" t="s">
        <v>333</v>
      </c>
      <c r="AY103" s="24" t="s">
        <v>349</v>
      </c>
      <c r="AZ103" s="20" t="s">
        <v>360</v>
      </c>
      <c r="BB103" s="21">
        <f>AV103+AW103</f>
        <v>0</v>
      </c>
      <c r="BC103" s="21">
        <f>H103/(100-BD103)*100</f>
        <v>0</v>
      </c>
      <c r="BD103" s="21">
        <v>0</v>
      </c>
      <c r="BE103" s="21">
        <f>103</f>
        <v>103</v>
      </c>
      <c r="BG103" s="14">
        <f>G103*AN103</f>
        <v>0</v>
      </c>
      <c r="BH103" s="14">
        <f>G103*AO103</f>
        <v>0</v>
      </c>
      <c r="BI103" s="14">
        <f>G103*H103</f>
        <v>0</v>
      </c>
      <c r="BJ103" s="14" t="s">
        <v>159</v>
      </c>
      <c r="BK103" s="21">
        <v>766</v>
      </c>
    </row>
    <row r="104" spans="1:63" ht="12.75">
      <c r="A104" s="62" t="s">
        <v>74</v>
      </c>
      <c r="B104" s="63" t="s">
        <v>155</v>
      </c>
      <c r="C104" s="102" t="s">
        <v>258</v>
      </c>
      <c r="D104" s="103"/>
      <c r="E104" s="103"/>
      <c r="F104" s="63" t="s">
        <v>281</v>
      </c>
      <c r="G104" s="64">
        <v>6</v>
      </c>
      <c r="H104" s="64">
        <v>0</v>
      </c>
      <c r="I104" s="64">
        <f>G104*AN104</f>
        <v>0</v>
      </c>
      <c r="J104" s="64">
        <f>G104*AO104</f>
        <v>0</v>
      </c>
      <c r="K104" s="64">
        <f>G104*H104</f>
        <v>0</v>
      </c>
      <c r="L104" s="18"/>
      <c r="Y104" s="21">
        <f>IF(AP104="5",BI104,0)</f>
        <v>0</v>
      </c>
      <c r="AA104" s="21">
        <f>IF(AP104="1",BG104,0)</f>
        <v>0</v>
      </c>
      <c r="AB104" s="21">
        <f>IF(AP104="1",BH104,0)</f>
        <v>0</v>
      </c>
      <c r="AC104" s="21">
        <f>IF(AP104="7",BG104,0)</f>
        <v>0</v>
      </c>
      <c r="AD104" s="21">
        <f>IF(AP104="7",BH104,0)</f>
        <v>0</v>
      </c>
      <c r="AE104" s="21">
        <f>IF(AP104="2",BG104,0)</f>
        <v>0</v>
      </c>
      <c r="AF104" s="21">
        <f>IF(AP104="2",BH104,0)</f>
        <v>0</v>
      </c>
      <c r="AG104" s="21">
        <f>IF(AP104="0",BI104,0)</f>
        <v>0</v>
      </c>
      <c r="AH104" s="20" t="s">
        <v>318</v>
      </c>
      <c r="AI104" s="15">
        <f>IF(AM104=0,K104,0)</f>
        <v>0</v>
      </c>
      <c r="AJ104" s="15">
        <f>IF(AM104=15,K104,0)</f>
        <v>0</v>
      </c>
      <c r="AK104" s="15">
        <f>IF(AM104=21,K104,0)</f>
        <v>0</v>
      </c>
      <c r="AM104" s="21">
        <v>15</v>
      </c>
      <c r="AN104" s="21">
        <f>H104*1</f>
        <v>0</v>
      </c>
      <c r="AO104" s="21">
        <f>H104*(1-1)</f>
        <v>0</v>
      </c>
      <c r="AP104" s="23" t="s">
        <v>13</v>
      </c>
      <c r="AU104" s="21">
        <f>AV104+AW104</f>
        <v>0</v>
      </c>
      <c r="AV104" s="21">
        <f>G104*AN104</f>
        <v>0</v>
      </c>
      <c r="AW104" s="21">
        <f>G104*AO104</f>
        <v>0</v>
      </c>
      <c r="AX104" s="24" t="s">
        <v>333</v>
      </c>
      <c r="AY104" s="24" t="s">
        <v>349</v>
      </c>
      <c r="AZ104" s="20" t="s">
        <v>360</v>
      </c>
      <c r="BB104" s="21">
        <f>AV104+AW104</f>
        <v>0</v>
      </c>
      <c r="BC104" s="21">
        <f>H104/(100-BD104)*100</f>
        <v>0</v>
      </c>
      <c r="BD104" s="21">
        <v>0</v>
      </c>
      <c r="BE104" s="21">
        <f>104</f>
        <v>104</v>
      </c>
      <c r="BG104" s="15">
        <f>G104*AN104</f>
        <v>0</v>
      </c>
      <c r="BH104" s="15">
        <f>G104*AO104</f>
        <v>0</v>
      </c>
      <c r="BI104" s="15">
        <f>G104*H104</f>
        <v>0</v>
      </c>
      <c r="BJ104" s="15" t="s">
        <v>367</v>
      </c>
      <c r="BK104" s="21">
        <v>766</v>
      </c>
    </row>
    <row r="105" spans="1:63" ht="12.75">
      <c r="A105" s="62" t="s">
        <v>75</v>
      </c>
      <c r="B105" s="63" t="s">
        <v>156</v>
      </c>
      <c r="C105" s="102" t="s">
        <v>259</v>
      </c>
      <c r="D105" s="103"/>
      <c r="E105" s="103"/>
      <c r="F105" s="63" t="s">
        <v>281</v>
      </c>
      <c r="G105" s="64">
        <v>6</v>
      </c>
      <c r="H105" s="64">
        <v>0</v>
      </c>
      <c r="I105" s="64">
        <f>G105*AN105</f>
        <v>0</v>
      </c>
      <c r="J105" s="64">
        <f>G105*AO105</f>
        <v>0</v>
      </c>
      <c r="K105" s="64">
        <f>G105*H105</f>
        <v>0</v>
      </c>
      <c r="L105" s="18"/>
      <c r="Y105" s="21">
        <f>IF(AP105="5",BI105,0)</f>
        <v>0</v>
      </c>
      <c r="AA105" s="21">
        <f>IF(AP105="1",BG105,0)</f>
        <v>0</v>
      </c>
      <c r="AB105" s="21">
        <f>IF(AP105="1",BH105,0)</f>
        <v>0</v>
      </c>
      <c r="AC105" s="21">
        <f>IF(AP105="7",BG105,0)</f>
        <v>0</v>
      </c>
      <c r="AD105" s="21">
        <f>IF(AP105="7",BH105,0)</f>
        <v>0</v>
      </c>
      <c r="AE105" s="21">
        <f>IF(AP105="2",BG105,0)</f>
        <v>0</v>
      </c>
      <c r="AF105" s="21">
        <f>IF(AP105="2",BH105,0)</f>
        <v>0</v>
      </c>
      <c r="AG105" s="21">
        <f>IF(AP105="0",BI105,0)</f>
        <v>0</v>
      </c>
      <c r="AH105" s="20" t="s">
        <v>318</v>
      </c>
      <c r="AI105" s="15">
        <f>IF(AM105=0,K105,0)</f>
        <v>0</v>
      </c>
      <c r="AJ105" s="15">
        <f>IF(AM105=15,K105,0)</f>
        <v>0</v>
      </c>
      <c r="AK105" s="15">
        <f>IF(AM105=21,K105,0)</f>
        <v>0</v>
      </c>
      <c r="AM105" s="21">
        <v>15</v>
      </c>
      <c r="AN105" s="21">
        <f>H105*1</f>
        <v>0</v>
      </c>
      <c r="AO105" s="21">
        <f>H105*(1-1)</f>
        <v>0</v>
      </c>
      <c r="AP105" s="23" t="s">
        <v>13</v>
      </c>
      <c r="AU105" s="21">
        <f>AV105+AW105</f>
        <v>0</v>
      </c>
      <c r="AV105" s="21">
        <f>G105*AN105</f>
        <v>0</v>
      </c>
      <c r="AW105" s="21">
        <f>G105*AO105</f>
        <v>0</v>
      </c>
      <c r="AX105" s="24" t="s">
        <v>333</v>
      </c>
      <c r="AY105" s="24" t="s">
        <v>349</v>
      </c>
      <c r="AZ105" s="20" t="s">
        <v>360</v>
      </c>
      <c r="BB105" s="21">
        <f>AV105+AW105</f>
        <v>0</v>
      </c>
      <c r="BC105" s="21">
        <f>H105/(100-BD105)*100</f>
        <v>0</v>
      </c>
      <c r="BD105" s="21">
        <v>0</v>
      </c>
      <c r="BE105" s="21">
        <f>105</f>
        <v>105</v>
      </c>
      <c r="BG105" s="15">
        <f>G105*AN105</f>
        <v>0</v>
      </c>
      <c r="BH105" s="15">
        <f>G105*AO105</f>
        <v>0</v>
      </c>
      <c r="BI105" s="15">
        <f>G105*H105</f>
        <v>0</v>
      </c>
      <c r="BJ105" s="15" t="s">
        <v>367</v>
      </c>
      <c r="BK105" s="21">
        <v>766</v>
      </c>
    </row>
    <row r="106" spans="1:63" ht="12.75">
      <c r="A106" s="62" t="s">
        <v>76</v>
      </c>
      <c r="B106" s="63" t="s">
        <v>157</v>
      </c>
      <c r="C106" s="102" t="s">
        <v>260</v>
      </c>
      <c r="D106" s="103"/>
      <c r="E106" s="103"/>
      <c r="F106" s="63" t="s">
        <v>281</v>
      </c>
      <c r="G106" s="64">
        <v>6</v>
      </c>
      <c r="H106" s="64">
        <v>0</v>
      </c>
      <c r="I106" s="64">
        <f>G106*AN106</f>
        <v>0</v>
      </c>
      <c r="J106" s="64">
        <f>G106*AO106</f>
        <v>0</v>
      </c>
      <c r="K106" s="64">
        <f>G106*H106</f>
        <v>0</v>
      </c>
      <c r="L106" s="18"/>
      <c r="Y106" s="21">
        <f>IF(AP106="5",BI106,0)</f>
        <v>0</v>
      </c>
      <c r="AA106" s="21">
        <f>IF(AP106="1",BG106,0)</f>
        <v>0</v>
      </c>
      <c r="AB106" s="21">
        <f>IF(AP106="1",BH106,0)</f>
        <v>0</v>
      </c>
      <c r="AC106" s="21">
        <f>IF(AP106="7",BG106,0)</f>
        <v>0</v>
      </c>
      <c r="AD106" s="21">
        <f>IF(AP106="7",BH106,0)</f>
        <v>0</v>
      </c>
      <c r="AE106" s="21">
        <f>IF(AP106="2",BG106,0)</f>
        <v>0</v>
      </c>
      <c r="AF106" s="21">
        <f>IF(AP106="2",BH106,0)</f>
        <v>0</v>
      </c>
      <c r="AG106" s="21">
        <f>IF(AP106="0",BI106,0)</f>
        <v>0</v>
      </c>
      <c r="AH106" s="20" t="s">
        <v>318</v>
      </c>
      <c r="AI106" s="15">
        <f>IF(AM106=0,K106,0)</f>
        <v>0</v>
      </c>
      <c r="AJ106" s="15">
        <f>IF(AM106=15,K106,0)</f>
        <v>0</v>
      </c>
      <c r="AK106" s="15">
        <f>IF(AM106=21,K106,0)</f>
        <v>0</v>
      </c>
      <c r="AM106" s="21">
        <v>15</v>
      </c>
      <c r="AN106" s="21">
        <f>H106*1</f>
        <v>0</v>
      </c>
      <c r="AO106" s="21">
        <f>H106*(1-1)</f>
        <v>0</v>
      </c>
      <c r="AP106" s="23" t="s">
        <v>13</v>
      </c>
      <c r="AU106" s="21">
        <f>AV106+AW106</f>
        <v>0</v>
      </c>
      <c r="AV106" s="21">
        <f>G106*AN106</f>
        <v>0</v>
      </c>
      <c r="AW106" s="21">
        <f>G106*AO106</f>
        <v>0</v>
      </c>
      <c r="AX106" s="24" t="s">
        <v>333</v>
      </c>
      <c r="AY106" s="24" t="s">
        <v>349</v>
      </c>
      <c r="AZ106" s="20" t="s">
        <v>360</v>
      </c>
      <c r="BB106" s="21">
        <f>AV106+AW106</f>
        <v>0</v>
      </c>
      <c r="BC106" s="21">
        <f>H106/(100-BD106)*100</f>
        <v>0</v>
      </c>
      <c r="BD106" s="21">
        <v>0</v>
      </c>
      <c r="BE106" s="21">
        <f>106</f>
        <v>106</v>
      </c>
      <c r="BG106" s="15">
        <f>G106*AN106</f>
        <v>0</v>
      </c>
      <c r="BH106" s="15">
        <f>G106*AO106</f>
        <v>0</v>
      </c>
      <c r="BI106" s="15">
        <f>G106*H106</f>
        <v>0</v>
      </c>
      <c r="BJ106" s="15" t="s">
        <v>367</v>
      </c>
      <c r="BK106" s="21">
        <v>766</v>
      </c>
    </row>
    <row r="107" spans="1:12" ht="12.75">
      <c r="A107" s="65"/>
      <c r="B107" s="66"/>
      <c r="C107" s="104" t="s">
        <v>261</v>
      </c>
      <c r="D107" s="105"/>
      <c r="E107" s="106"/>
      <c r="F107" s="65" t="s">
        <v>6</v>
      </c>
      <c r="G107" s="65" t="s">
        <v>6</v>
      </c>
      <c r="H107" s="65" t="s">
        <v>6</v>
      </c>
      <c r="I107" s="67">
        <f>I108</f>
        <v>0</v>
      </c>
      <c r="J107" s="67">
        <f>J108</f>
        <v>0</v>
      </c>
      <c r="K107" s="67">
        <f>K108</f>
        <v>0</v>
      </c>
      <c r="L107" s="61"/>
    </row>
    <row r="108" spans="1:46" ht="12.75">
      <c r="A108" s="2"/>
      <c r="B108" s="8" t="s">
        <v>125</v>
      </c>
      <c r="C108" s="98" t="s">
        <v>216</v>
      </c>
      <c r="D108" s="99"/>
      <c r="E108" s="99"/>
      <c r="F108" s="12" t="s">
        <v>6</v>
      </c>
      <c r="G108" s="12" t="s">
        <v>6</v>
      </c>
      <c r="H108" s="12" t="s">
        <v>6</v>
      </c>
      <c r="I108" s="26">
        <f>SUM(I109:I110)</f>
        <v>0</v>
      </c>
      <c r="J108" s="26">
        <f>SUM(J109:J110)</f>
        <v>0</v>
      </c>
      <c r="K108" s="26">
        <f>SUM(K109:K110)</f>
        <v>0</v>
      </c>
      <c r="L108" s="18"/>
      <c r="AH108" s="20" t="s">
        <v>319</v>
      </c>
      <c r="AR108" s="26">
        <f>SUM(AI109:AI110)</f>
        <v>0</v>
      </c>
      <c r="AS108" s="26">
        <f>SUM(AJ109:AJ110)</f>
        <v>0</v>
      </c>
      <c r="AT108" s="26">
        <f>SUM(AK109:AK110)</f>
        <v>0</v>
      </c>
    </row>
    <row r="109" spans="1:63" ht="12.75">
      <c r="A109" s="3" t="s">
        <v>77</v>
      </c>
      <c r="B109" s="9" t="s">
        <v>127</v>
      </c>
      <c r="C109" s="100" t="s">
        <v>262</v>
      </c>
      <c r="D109" s="101"/>
      <c r="E109" s="101"/>
      <c r="F109" s="9" t="s">
        <v>282</v>
      </c>
      <c r="G109" s="14">
        <v>522</v>
      </c>
      <c r="H109" s="14">
        <v>0</v>
      </c>
      <c r="I109" s="14">
        <f>G109*AN109</f>
        <v>0</v>
      </c>
      <c r="J109" s="14">
        <f>G109*AO109</f>
        <v>0</v>
      </c>
      <c r="K109" s="14">
        <f>G109*H109</f>
        <v>0</v>
      </c>
      <c r="L109" s="18"/>
      <c r="Y109" s="21">
        <f>IF(AP109="5",BI109,0)</f>
        <v>0</v>
      </c>
      <c r="AA109" s="21">
        <f>IF(AP109="1",BG109,0)</f>
        <v>0</v>
      </c>
      <c r="AB109" s="21">
        <f>IF(AP109="1",BH109,0)</f>
        <v>0</v>
      </c>
      <c r="AC109" s="21">
        <f>IF(AP109="7",BG109,0)</f>
        <v>0</v>
      </c>
      <c r="AD109" s="21">
        <f>IF(AP109="7",BH109,0)</f>
        <v>0</v>
      </c>
      <c r="AE109" s="21">
        <f>IF(AP109="2",BG109,0)</f>
        <v>0</v>
      </c>
      <c r="AF109" s="21">
        <f>IF(AP109="2",BH109,0)</f>
        <v>0</v>
      </c>
      <c r="AG109" s="21">
        <f>IF(AP109="0",BI109,0)</f>
        <v>0</v>
      </c>
      <c r="AH109" s="20" t="s">
        <v>319</v>
      </c>
      <c r="AI109" s="14">
        <f>IF(AM109=0,K109,0)</f>
        <v>0</v>
      </c>
      <c r="AJ109" s="14">
        <f>IF(AM109=15,K109,0)</f>
        <v>0</v>
      </c>
      <c r="AK109" s="14">
        <f>IF(AM109=21,K109,0)</f>
        <v>0</v>
      </c>
      <c r="AM109" s="21">
        <v>15</v>
      </c>
      <c r="AN109" s="21">
        <f>H109*0.412267657992565</f>
        <v>0</v>
      </c>
      <c r="AO109" s="21">
        <f>H109*(1-0.412267657992565)</f>
        <v>0</v>
      </c>
      <c r="AP109" s="22" t="s">
        <v>13</v>
      </c>
      <c r="AU109" s="21">
        <f>AV109+AW109</f>
        <v>0</v>
      </c>
      <c r="AV109" s="21">
        <f>G109*AN109</f>
        <v>0</v>
      </c>
      <c r="AW109" s="21">
        <f>G109*AO109</f>
        <v>0</v>
      </c>
      <c r="AX109" s="24" t="s">
        <v>328</v>
      </c>
      <c r="AY109" s="24" t="s">
        <v>350</v>
      </c>
      <c r="AZ109" s="20" t="s">
        <v>361</v>
      </c>
      <c r="BB109" s="21">
        <f>AV109+AW109</f>
        <v>0</v>
      </c>
      <c r="BC109" s="21">
        <f>H109/(100-BD109)*100</f>
        <v>0</v>
      </c>
      <c r="BD109" s="21">
        <v>0</v>
      </c>
      <c r="BE109" s="21">
        <f>109</f>
        <v>109</v>
      </c>
      <c r="BG109" s="14">
        <f>G109*AN109</f>
        <v>0</v>
      </c>
      <c r="BH109" s="14">
        <f>G109*AO109</f>
        <v>0</v>
      </c>
      <c r="BI109" s="14">
        <f>G109*H109</f>
        <v>0</v>
      </c>
      <c r="BJ109" s="14" t="s">
        <v>159</v>
      </c>
      <c r="BK109" s="21">
        <v>784</v>
      </c>
    </row>
    <row r="110" spans="1:63" ht="12.75">
      <c r="A110" s="3" t="s">
        <v>78</v>
      </c>
      <c r="B110" s="9" t="s">
        <v>158</v>
      </c>
      <c r="C110" s="100" t="s">
        <v>263</v>
      </c>
      <c r="D110" s="101"/>
      <c r="E110" s="101"/>
      <c r="F110" s="9" t="s">
        <v>282</v>
      </c>
      <c r="G110" s="14">
        <v>522</v>
      </c>
      <c r="H110" s="14">
        <v>0</v>
      </c>
      <c r="I110" s="14">
        <f>G110*AN110</f>
        <v>0</v>
      </c>
      <c r="J110" s="14">
        <f>G110*AO110</f>
        <v>0</v>
      </c>
      <c r="K110" s="14">
        <f>G110*H110</f>
        <v>0</v>
      </c>
      <c r="L110" s="18"/>
      <c r="Y110" s="21">
        <f>IF(AP110="5",BI110,0)</f>
        <v>0</v>
      </c>
      <c r="AA110" s="21">
        <f>IF(AP110="1",BG110,0)</f>
        <v>0</v>
      </c>
      <c r="AB110" s="21">
        <f>IF(AP110="1",BH110,0)</f>
        <v>0</v>
      </c>
      <c r="AC110" s="21">
        <f>IF(AP110="7",BG110,0)</f>
        <v>0</v>
      </c>
      <c r="AD110" s="21">
        <f>IF(AP110="7",BH110,0)</f>
        <v>0</v>
      </c>
      <c r="AE110" s="21">
        <f>IF(AP110="2",BG110,0)</f>
        <v>0</v>
      </c>
      <c r="AF110" s="21">
        <f>IF(AP110="2",BH110,0)</f>
        <v>0</v>
      </c>
      <c r="AG110" s="21">
        <f>IF(AP110="0",BI110,0)</f>
        <v>0</v>
      </c>
      <c r="AH110" s="20" t="s">
        <v>319</v>
      </c>
      <c r="AI110" s="14">
        <f>IF(AM110=0,K110,0)</f>
        <v>0</v>
      </c>
      <c r="AJ110" s="14">
        <f>IF(AM110=15,K110,0)</f>
        <v>0</v>
      </c>
      <c r="AK110" s="14">
        <f>IF(AM110=21,K110,0)</f>
        <v>0</v>
      </c>
      <c r="AM110" s="21">
        <v>15</v>
      </c>
      <c r="AN110" s="21">
        <f>H110*0.0956378901259354</f>
        <v>0</v>
      </c>
      <c r="AO110" s="21">
        <f>H110*(1-0.0956378901259354)</f>
        <v>0</v>
      </c>
      <c r="AP110" s="22" t="s">
        <v>13</v>
      </c>
      <c r="AU110" s="21">
        <f>AV110+AW110</f>
        <v>0</v>
      </c>
      <c r="AV110" s="21">
        <f>G110*AN110</f>
        <v>0</v>
      </c>
      <c r="AW110" s="21">
        <f>G110*AO110</f>
        <v>0</v>
      </c>
      <c r="AX110" s="24" t="s">
        <v>328</v>
      </c>
      <c r="AY110" s="24" t="s">
        <v>350</v>
      </c>
      <c r="AZ110" s="20" t="s">
        <v>361</v>
      </c>
      <c r="BB110" s="21">
        <f>AV110+AW110</f>
        <v>0</v>
      </c>
      <c r="BC110" s="21">
        <f>H110/(100-BD110)*100</f>
        <v>0</v>
      </c>
      <c r="BD110" s="21">
        <v>0</v>
      </c>
      <c r="BE110" s="21">
        <f>110</f>
        <v>110</v>
      </c>
      <c r="BG110" s="14">
        <f>G110*AN110</f>
        <v>0</v>
      </c>
      <c r="BH110" s="14">
        <f>G110*AO110</f>
        <v>0</v>
      </c>
      <c r="BI110" s="14">
        <f>G110*H110</f>
        <v>0</v>
      </c>
      <c r="BJ110" s="14" t="s">
        <v>159</v>
      </c>
      <c r="BK110" s="21">
        <v>784</v>
      </c>
    </row>
    <row r="111" spans="1:12" ht="12.75">
      <c r="A111" s="65"/>
      <c r="B111" s="66"/>
      <c r="C111" s="104" t="s">
        <v>264</v>
      </c>
      <c r="D111" s="105"/>
      <c r="E111" s="106"/>
      <c r="F111" s="65" t="s">
        <v>6</v>
      </c>
      <c r="G111" s="65" t="s">
        <v>6</v>
      </c>
      <c r="H111" s="65" t="s">
        <v>6</v>
      </c>
      <c r="I111" s="67">
        <f>I112+I114</f>
        <v>0</v>
      </c>
      <c r="J111" s="67">
        <f>J112+J114</f>
        <v>0</v>
      </c>
      <c r="K111" s="67">
        <f>K112+K114</f>
        <v>0</v>
      </c>
      <c r="L111" s="61"/>
    </row>
    <row r="112" spans="1:46" ht="12.75">
      <c r="A112" s="2"/>
      <c r="B112" s="8" t="s">
        <v>159</v>
      </c>
      <c r="C112" s="98" t="s">
        <v>265</v>
      </c>
      <c r="D112" s="99"/>
      <c r="E112" s="99"/>
      <c r="F112" s="12" t="s">
        <v>6</v>
      </c>
      <c r="G112" s="12" t="s">
        <v>6</v>
      </c>
      <c r="H112" s="12" t="s">
        <v>6</v>
      </c>
      <c r="I112" s="26">
        <f>SUM(I113:I113)</f>
        <v>0</v>
      </c>
      <c r="J112" s="26">
        <f>SUM(J113:J113)</f>
        <v>0</v>
      </c>
      <c r="K112" s="26">
        <f>SUM(K113:K113)</f>
        <v>0</v>
      </c>
      <c r="L112" s="18"/>
      <c r="AH112" s="20" t="s">
        <v>320</v>
      </c>
      <c r="AR112" s="26">
        <f>SUM(AI113:AI113)</f>
        <v>0</v>
      </c>
      <c r="AS112" s="26">
        <f>SUM(AJ113:AJ113)</f>
        <v>0</v>
      </c>
      <c r="AT112" s="26">
        <f>SUM(AK113:AK113)</f>
        <v>0</v>
      </c>
    </row>
    <row r="113" spans="1:63" ht="12.75">
      <c r="A113" s="3" t="s">
        <v>79</v>
      </c>
      <c r="B113" s="9" t="s">
        <v>160</v>
      </c>
      <c r="C113" s="100" t="s">
        <v>266</v>
      </c>
      <c r="D113" s="101"/>
      <c r="E113" s="101"/>
      <c r="F113" s="9" t="s">
        <v>285</v>
      </c>
      <c r="G113" s="14">
        <v>67.88276</v>
      </c>
      <c r="H113" s="14">
        <v>0</v>
      </c>
      <c r="I113" s="14">
        <f>G113*AN113</f>
        <v>0</v>
      </c>
      <c r="J113" s="14">
        <f>G113*AO113</f>
        <v>0</v>
      </c>
      <c r="K113" s="14">
        <f>G113*H113</f>
        <v>0</v>
      </c>
      <c r="L113" s="18"/>
      <c r="Y113" s="21">
        <f>IF(AP113="5",BI113,0)</f>
        <v>0</v>
      </c>
      <c r="AA113" s="21">
        <f>IF(AP113="1",BG113,0)</f>
        <v>0</v>
      </c>
      <c r="AB113" s="21">
        <f>IF(AP113="1",BH113,0)</f>
        <v>0</v>
      </c>
      <c r="AC113" s="21">
        <f>IF(AP113="7",BG113,0)</f>
        <v>0</v>
      </c>
      <c r="AD113" s="21">
        <f>IF(AP113="7",BH113,0)</f>
        <v>0</v>
      </c>
      <c r="AE113" s="21">
        <f>IF(AP113="2",BG113,0)</f>
        <v>0</v>
      </c>
      <c r="AF113" s="21">
        <f>IF(AP113="2",BH113,0)</f>
        <v>0</v>
      </c>
      <c r="AG113" s="21">
        <f>IF(AP113="0",BI113,0)</f>
        <v>0</v>
      </c>
      <c r="AH113" s="20" t="s">
        <v>320</v>
      </c>
      <c r="AI113" s="14">
        <f>IF(AM113=0,K113,0)</f>
        <v>0</v>
      </c>
      <c r="AJ113" s="14">
        <f>IF(AM113=15,K113,0)</f>
        <v>0</v>
      </c>
      <c r="AK113" s="14">
        <f>IF(AM113=21,K113,0)</f>
        <v>0</v>
      </c>
      <c r="AM113" s="21">
        <v>15</v>
      </c>
      <c r="AN113" s="21">
        <f>H113*0</f>
        <v>0</v>
      </c>
      <c r="AO113" s="21">
        <f>H113*(1-0)</f>
        <v>0</v>
      </c>
      <c r="AP113" s="22" t="s">
        <v>11</v>
      </c>
      <c r="AU113" s="21">
        <f>AV113+AW113</f>
        <v>0</v>
      </c>
      <c r="AV113" s="21">
        <f>G113*AN113</f>
        <v>0</v>
      </c>
      <c r="AW113" s="21">
        <f>G113*AO113</f>
        <v>0</v>
      </c>
      <c r="AX113" s="24" t="s">
        <v>334</v>
      </c>
      <c r="AY113" s="24" t="s">
        <v>351</v>
      </c>
      <c r="AZ113" s="20" t="s">
        <v>362</v>
      </c>
      <c r="BB113" s="21">
        <f>AV113+AW113</f>
        <v>0</v>
      </c>
      <c r="BC113" s="21">
        <f>H113/(100-BD113)*100</f>
        <v>0</v>
      </c>
      <c r="BD113" s="21">
        <v>0</v>
      </c>
      <c r="BE113" s="21">
        <f>113</f>
        <v>113</v>
      </c>
      <c r="BG113" s="14">
        <f>G113*AN113</f>
        <v>0</v>
      </c>
      <c r="BH113" s="14">
        <f>G113*AO113</f>
        <v>0</v>
      </c>
      <c r="BI113" s="14">
        <f>G113*H113</f>
        <v>0</v>
      </c>
      <c r="BJ113" s="14" t="s">
        <v>159</v>
      </c>
      <c r="BK113" s="21" t="s">
        <v>159</v>
      </c>
    </row>
    <row r="114" spans="1:46" ht="12.75">
      <c r="A114" s="2"/>
      <c r="B114" s="8" t="s">
        <v>161</v>
      </c>
      <c r="C114" s="98" t="s">
        <v>267</v>
      </c>
      <c r="D114" s="99"/>
      <c r="E114" s="99"/>
      <c r="F114" s="12" t="s">
        <v>6</v>
      </c>
      <c r="G114" s="12" t="s">
        <v>6</v>
      </c>
      <c r="H114" s="12" t="s">
        <v>6</v>
      </c>
      <c r="I114" s="26">
        <f>SUM(I115:I117)</f>
        <v>0</v>
      </c>
      <c r="J114" s="26">
        <f>SUM(J115:J117)</f>
        <v>0</v>
      </c>
      <c r="K114" s="26">
        <f>SUM(K115:K117)</f>
        <v>0</v>
      </c>
      <c r="L114" s="18"/>
      <c r="AH114" s="20" t="s">
        <v>320</v>
      </c>
      <c r="AR114" s="26">
        <f>SUM(AI115:AI117)</f>
        <v>0</v>
      </c>
      <c r="AS114" s="26">
        <f>SUM(AJ115:AJ117)</f>
        <v>0</v>
      </c>
      <c r="AT114" s="26">
        <f>SUM(AK115:AK117)</f>
        <v>0</v>
      </c>
    </row>
    <row r="115" spans="1:63" ht="12.75">
      <c r="A115" s="3" t="s">
        <v>80</v>
      </c>
      <c r="B115" s="9" t="s">
        <v>162</v>
      </c>
      <c r="C115" s="100" t="s">
        <v>268</v>
      </c>
      <c r="D115" s="101"/>
      <c r="E115" s="101"/>
      <c r="F115" s="9" t="s">
        <v>285</v>
      </c>
      <c r="G115" s="14">
        <v>17.8</v>
      </c>
      <c r="H115" s="14">
        <v>0</v>
      </c>
      <c r="I115" s="14">
        <f>G115*AN115</f>
        <v>0</v>
      </c>
      <c r="J115" s="14">
        <f>G115*AO115</f>
        <v>0</v>
      </c>
      <c r="K115" s="14">
        <f>G115*H115</f>
        <v>0</v>
      </c>
      <c r="L115" s="18"/>
      <c r="Y115" s="21">
        <f>IF(AP115="5",BI115,0)</f>
        <v>0</v>
      </c>
      <c r="AA115" s="21">
        <f>IF(AP115="1",BG115,0)</f>
        <v>0</v>
      </c>
      <c r="AB115" s="21">
        <f>IF(AP115="1",BH115,0)</f>
        <v>0</v>
      </c>
      <c r="AC115" s="21">
        <f>IF(AP115="7",BG115,0)</f>
        <v>0</v>
      </c>
      <c r="AD115" s="21">
        <f>IF(AP115="7",BH115,0)</f>
        <v>0</v>
      </c>
      <c r="AE115" s="21">
        <f>IF(AP115="2",BG115,0)</f>
        <v>0</v>
      </c>
      <c r="AF115" s="21">
        <f>IF(AP115="2",BH115,0)</f>
        <v>0</v>
      </c>
      <c r="AG115" s="21">
        <f>IF(AP115="0",BI115,0)</f>
        <v>0</v>
      </c>
      <c r="AH115" s="20" t="s">
        <v>320</v>
      </c>
      <c r="AI115" s="14">
        <f>IF(AM115=0,K115,0)</f>
        <v>0</v>
      </c>
      <c r="AJ115" s="14">
        <f>IF(AM115=15,K115,0)</f>
        <v>0</v>
      </c>
      <c r="AK115" s="14">
        <f>IF(AM115=21,K115,0)</f>
        <v>0</v>
      </c>
      <c r="AM115" s="21">
        <v>15</v>
      </c>
      <c r="AN115" s="21">
        <f>H115*0</f>
        <v>0</v>
      </c>
      <c r="AO115" s="21">
        <f>H115*(1-0)</f>
        <v>0</v>
      </c>
      <c r="AP115" s="22" t="s">
        <v>11</v>
      </c>
      <c r="AU115" s="21">
        <f>AV115+AW115</f>
        <v>0</v>
      </c>
      <c r="AV115" s="21">
        <f>G115*AN115</f>
        <v>0</v>
      </c>
      <c r="AW115" s="21">
        <f>G115*AO115</f>
        <v>0</v>
      </c>
      <c r="AX115" s="24" t="s">
        <v>335</v>
      </c>
      <c r="AY115" s="24" t="s">
        <v>351</v>
      </c>
      <c r="AZ115" s="20" t="s">
        <v>362</v>
      </c>
      <c r="BB115" s="21">
        <f>AV115+AW115</f>
        <v>0</v>
      </c>
      <c r="BC115" s="21">
        <f>H115/(100-BD115)*100</f>
        <v>0</v>
      </c>
      <c r="BD115" s="21">
        <v>0</v>
      </c>
      <c r="BE115" s="21">
        <f>115</f>
        <v>115</v>
      </c>
      <c r="BG115" s="14">
        <f>G115*AN115</f>
        <v>0</v>
      </c>
      <c r="BH115" s="14">
        <f>G115*AO115</f>
        <v>0</v>
      </c>
      <c r="BI115" s="14">
        <f>G115*H115</f>
        <v>0</v>
      </c>
      <c r="BJ115" s="14" t="s">
        <v>159</v>
      </c>
      <c r="BK115" s="21" t="s">
        <v>161</v>
      </c>
    </row>
    <row r="116" spans="1:63" ht="12.75">
      <c r="A116" s="3" t="s">
        <v>81</v>
      </c>
      <c r="B116" s="9" t="s">
        <v>163</v>
      </c>
      <c r="C116" s="100" t="s">
        <v>269</v>
      </c>
      <c r="D116" s="101"/>
      <c r="E116" s="101"/>
      <c r="F116" s="9" t="s">
        <v>285</v>
      </c>
      <c r="G116" s="14">
        <v>17.8</v>
      </c>
      <c r="H116" s="14">
        <v>0</v>
      </c>
      <c r="I116" s="14">
        <f>G116*AN116</f>
        <v>0</v>
      </c>
      <c r="J116" s="14">
        <f>G116*AO116</f>
        <v>0</v>
      </c>
      <c r="K116" s="14">
        <f>G116*H116</f>
        <v>0</v>
      </c>
      <c r="L116" s="18"/>
      <c r="Y116" s="21">
        <f>IF(AP116="5",BI116,0)</f>
        <v>0</v>
      </c>
      <c r="AA116" s="21">
        <f>IF(AP116="1",BG116,0)</f>
        <v>0</v>
      </c>
      <c r="AB116" s="21">
        <f>IF(AP116="1",BH116,0)</f>
        <v>0</v>
      </c>
      <c r="AC116" s="21">
        <f>IF(AP116="7",BG116,0)</f>
        <v>0</v>
      </c>
      <c r="AD116" s="21">
        <f>IF(AP116="7",BH116,0)</f>
        <v>0</v>
      </c>
      <c r="AE116" s="21">
        <f>IF(AP116="2",BG116,0)</f>
        <v>0</v>
      </c>
      <c r="AF116" s="21">
        <f>IF(AP116="2",BH116,0)</f>
        <v>0</v>
      </c>
      <c r="AG116" s="21">
        <f>IF(AP116="0",BI116,0)</f>
        <v>0</v>
      </c>
      <c r="AH116" s="20" t="s">
        <v>320</v>
      </c>
      <c r="AI116" s="14">
        <f>IF(AM116=0,K116,0)</f>
        <v>0</v>
      </c>
      <c r="AJ116" s="14">
        <f>IF(AM116=15,K116,0)</f>
        <v>0</v>
      </c>
      <c r="AK116" s="14">
        <f>IF(AM116=21,K116,0)</f>
        <v>0</v>
      </c>
      <c r="AM116" s="21">
        <v>15</v>
      </c>
      <c r="AN116" s="21">
        <f>H116*0.010917670808483</f>
        <v>0</v>
      </c>
      <c r="AO116" s="21">
        <f>H116*(1-0.010917670808483)</f>
        <v>0</v>
      </c>
      <c r="AP116" s="22" t="s">
        <v>11</v>
      </c>
      <c r="AU116" s="21">
        <f>AV116+AW116</f>
        <v>0</v>
      </c>
      <c r="AV116" s="21">
        <f>G116*AN116</f>
        <v>0</v>
      </c>
      <c r="AW116" s="21">
        <f>G116*AO116</f>
        <v>0</v>
      </c>
      <c r="AX116" s="24" t="s">
        <v>335</v>
      </c>
      <c r="AY116" s="24" t="s">
        <v>351</v>
      </c>
      <c r="AZ116" s="20" t="s">
        <v>362</v>
      </c>
      <c r="BB116" s="21">
        <f>AV116+AW116</f>
        <v>0</v>
      </c>
      <c r="BC116" s="21">
        <f>H116/(100-BD116)*100</f>
        <v>0</v>
      </c>
      <c r="BD116" s="21">
        <v>0</v>
      </c>
      <c r="BE116" s="21">
        <f>116</f>
        <v>116</v>
      </c>
      <c r="BG116" s="14">
        <f>G116*AN116</f>
        <v>0</v>
      </c>
      <c r="BH116" s="14">
        <f>G116*AO116</f>
        <v>0</v>
      </c>
      <c r="BI116" s="14">
        <f>G116*H116</f>
        <v>0</v>
      </c>
      <c r="BJ116" s="14" t="s">
        <v>159</v>
      </c>
      <c r="BK116" s="21" t="s">
        <v>161</v>
      </c>
    </row>
    <row r="117" spans="1:63" ht="12.75">
      <c r="A117" s="4" t="s">
        <v>82</v>
      </c>
      <c r="B117" s="10" t="s">
        <v>164</v>
      </c>
      <c r="C117" s="107" t="s">
        <v>270</v>
      </c>
      <c r="D117" s="108"/>
      <c r="E117" s="108"/>
      <c r="F117" s="10" t="s">
        <v>285</v>
      </c>
      <c r="G117" s="16">
        <v>17.8</v>
      </c>
      <c r="H117" s="16">
        <v>0</v>
      </c>
      <c r="I117" s="16">
        <f>G117*AN117</f>
        <v>0</v>
      </c>
      <c r="J117" s="16">
        <f>G117*AO117</f>
        <v>0</v>
      </c>
      <c r="K117" s="16">
        <f>G117*H117</f>
        <v>0</v>
      </c>
      <c r="L117" s="18"/>
      <c r="Y117" s="21">
        <f>IF(AP117="5",BI117,0)</f>
        <v>0</v>
      </c>
      <c r="AA117" s="21">
        <f>IF(AP117="1",BG117,0)</f>
        <v>0</v>
      </c>
      <c r="AB117" s="21">
        <f>IF(AP117="1",BH117,0)</f>
        <v>0</v>
      </c>
      <c r="AC117" s="21">
        <f>IF(AP117="7",BG117,0)</f>
        <v>0</v>
      </c>
      <c r="AD117" s="21">
        <f>IF(AP117="7",BH117,0)</f>
        <v>0</v>
      </c>
      <c r="AE117" s="21">
        <f>IF(AP117="2",BG117,0)</f>
        <v>0</v>
      </c>
      <c r="AF117" s="21">
        <f>IF(AP117="2",BH117,0)</f>
        <v>0</v>
      </c>
      <c r="AG117" s="21">
        <f>IF(AP117="0",BI117,0)</f>
        <v>0</v>
      </c>
      <c r="AH117" s="20" t="s">
        <v>320</v>
      </c>
      <c r="AI117" s="14">
        <f>IF(AM117=0,K117,0)</f>
        <v>0</v>
      </c>
      <c r="AJ117" s="14">
        <f>IF(AM117=15,K117,0)</f>
        <v>0</v>
      </c>
      <c r="AK117" s="14">
        <f>IF(AM117=21,K117,0)</f>
        <v>0</v>
      </c>
      <c r="AM117" s="21">
        <v>15</v>
      </c>
      <c r="AN117" s="21">
        <f>H117*0</f>
        <v>0</v>
      </c>
      <c r="AO117" s="21">
        <f>H117*(1-0)</f>
        <v>0</v>
      </c>
      <c r="AP117" s="22" t="s">
        <v>11</v>
      </c>
      <c r="AU117" s="21">
        <f>AV117+AW117</f>
        <v>0</v>
      </c>
      <c r="AV117" s="21">
        <f>G117*AN117</f>
        <v>0</v>
      </c>
      <c r="AW117" s="21">
        <f>G117*AO117</f>
        <v>0</v>
      </c>
      <c r="AX117" s="24" t="s">
        <v>335</v>
      </c>
      <c r="AY117" s="24" t="s">
        <v>351</v>
      </c>
      <c r="AZ117" s="20" t="s">
        <v>362</v>
      </c>
      <c r="BB117" s="21">
        <f>AV117+AW117</f>
        <v>0</v>
      </c>
      <c r="BC117" s="21">
        <f>H117/(100-BD117)*100</f>
        <v>0</v>
      </c>
      <c r="BD117" s="21">
        <v>0</v>
      </c>
      <c r="BE117" s="21">
        <f>117</f>
        <v>117</v>
      </c>
      <c r="BG117" s="14">
        <f>G117*AN117</f>
        <v>0</v>
      </c>
      <c r="BH117" s="14">
        <f>G117*AO117</f>
        <v>0</v>
      </c>
      <c r="BI117" s="14">
        <f>G117*H117</f>
        <v>0</v>
      </c>
      <c r="BJ117" s="14" t="s">
        <v>159</v>
      </c>
      <c r="BK117" s="21" t="s">
        <v>161</v>
      </c>
    </row>
    <row r="118" spans="1:11" ht="12.75">
      <c r="A118" s="5"/>
      <c r="B118" s="5"/>
      <c r="C118" s="5"/>
      <c r="D118" s="5"/>
      <c r="E118" s="5"/>
      <c r="F118" s="5"/>
      <c r="G118" s="5"/>
      <c r="H118" s="5"/>
      <c r="I118" s="109" t="s">
        <v>298</v>
      </c>
      <c r="J118" s="110"/>
      <c r="K118" s="27">
        <f>K13+K30+K32+K35+K47+K49+K55+K57+K59+K61+K65+K73+K80+K87+K98+K102+K108+K112+K114</f>
        <v>0</v>
      </c>
    </row>
    <row r="119" ht="11.25" customHeight="1">
      <c r="A119" s="6" t="s">
        <v>83</v>
      </c>
    </row>
    <row r="120" spans="1:11" ht="12.75">
      <c r="A120" s="81"/>
      <c r="B120" s="73"/>
      <c r="C120" s="73"/>
      <c r="D120" s="73"/>
      <c r="E120" s="73"/>
      <c r="F120" s="73"/>
      <c r="G120" s="73"/>
      <c r="H120" s="73"/>
      <c r="I120" s="73"/>
      <c r="J120" s="73"/>
      <c r="K120" s="73"/>
    </row>
  </sheetData>
  <sheetProtection/>
  <mergeCells count="136">
    <mergeCell ref="C117:E117"/>
    <mergeCell ref="I118:J118"/>
    <mergeCell ref="A120:K120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K9"/>
    <mergeCell ref="A6:B7"/>
    <mergeCell ref="C6:C7"/>
    <mergeCell ref="D6:E7"/>
    <mergeCell ref="F6:G7"/>
    <mergeCell ref="H6:H7"/>
    <mergeCell ref="I6:K7"/>
    <mergeCell ref="A4:B5"/>
    <mergeCell ref="C4:C5"/>
    <mergeCell ref="D4:E5"/>
    <mergeCell ref="F4:G5"/>
    <mergeCell ref="H4:H5"/>
    <mergeCell ref="I4:K5"/>
    <mergeCell ref="A1:K1"/>
    <mergeCell ref="A2:B3"/>
    <mergeCell ref="C2:C3"/>
    <mergeCell ref="D2:E3"/>
    <mergeCell ref="F2:G3"/>
    <mergeCell ref="H2:H3"/>
    <mergeCell ref="I2:K3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Hriš</cp:lastModifiedBy>
  <dcterms:modified xsi:type="dcterms:W3CDTF">2024-02-28T23:37:44Z</dcterms:modified>
  <cp:category/>
  <cp:version/>
  <cp:contentType/>
  <cp:contentStatus/>
</cp:coreProperties>
</file>