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<sst xmlns="http://schemas.openxmlformats.org/spreadsheetml/2006/main" count="1198" uniqueCount="424">
  <si>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</si>
  <si>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</si>
  <si>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</si>
  <si>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</si>
  <si>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</si>
  <si>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</si>
  <si>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</si>
  <si>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</si>
  <si>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</si>
  <si>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</si>
  <si>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</si>
  <si>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</si>
  <si>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</si>
  <si>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</si>
  <si>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</si>
  <si>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</si>
  <si>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</si>
  <si>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</si>
  <si>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</si>
  <si>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</si>
  <si>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</si>
  <si>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</si>
  <si>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</si>
  <si>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</si>
  <si>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</si>
  <si>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</si>
  <si>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</si>
  <si>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</si>
  <si>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</si>
  <si>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</si>
  <si>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</si>
  <si>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</si>
  <si>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</si>
  <si>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</si>
  <si>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</si>
  <si>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</si>
  <si>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</si>
  <si>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</si>
  <si>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</si>
  <si>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</si>
  <si>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</si>
  <si>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</si>
  <si>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</si>
  <si>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</si>
  <si>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</si>
  <si>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</si>
  <si>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</si>
  <si>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</si>
  <si>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</si>
  <si>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</si>
  <si>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</si>
  <si>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</si>
  <si>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</si>
  <si>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</si>
  <si>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</si>
  <si>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</si>
  <si>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</si>
  <si>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</si>
  <si>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</si>
  <si>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</si>
  <si>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</si>
  <si>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</si>
  <si>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</si>
  <si>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</si>
  <si>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</si>
  <si>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</si>
  <si>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</si>
  <si>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</si>
  <si>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</si>
  <si>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</si>
  <si>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</si>
  <si>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</si>
  <si>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</si>
  <si>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</si>
  <si>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</si>
  <si>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</si>
  <si>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</si>
  <si>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</si>
  <si>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</si>
  <si>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</si>
  <si>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</si>
  <si>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</si>
  <si>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</si>
  <si>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</si>
  <si>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</si>
  <si>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Poznámka:</t>
  </si>
  <si>
    <t>Kód</t>
  </si>
  <si>
    <t>725</t>
  </si>
  <si>
    <t>725110811R00</t>
  </si>
  <si>
    <t>725119205R00</t>
  </si>
  <si>
    <t>725122813R00</t>
  </si>
  <si>
    <t>725120925R00</t>
  </si>
  <si>
    <t>725210821R00</t>
  </si>
  <si>
    <t>725210914R00</t>
  </si>
  <si>
    <t>725820801R00</t>
  </si>
  <si>
    <t>725829202R00</t>
  </si>
  <si>
    <t>725860811R00</t>
  </si>
  <si>
    <t>725869101R00</t>
  </si>
  <si>
    <t>725840850R00</t>
  </si>
  <si>
    <t>725849201R00</t>
  </si>
  <si>
    <t>725840860R00</t>
  </si>
  <si>
    <t>725849302R00</t>
  </si>
  <si>
    <t>59223915</t>
  </si>
  <si>
    <t>728</t>
  </si>
  <si>
    <t>728111817R00</t>
  </si>
  <si>
    <t>728111117R00</t>
  </si>
  <si>
    <t>721</t>
  </si>
  <si>
    <t>721210812R00</t>
  </si>
  <si>
    <t>776</t>
  </si>
  <si>
    <t>776511810RT1</t>
  </si>
  <si>
    <t>965048230R00</t>
  </si>
  <si>
    <t>96</t>
  </si>
  <si>
    <t>968061125R00</t>
  </si>
  <si>
    <t>968072455R00</t>
  </si>
  <si>
    <t>978059531R00</t>
  </si>
  <si>
    <t>962031143R00</t>
  </si>
  <si>
    <t>967031732R00</t>
  </si>
  <si>
    <t>965081713R00</t>
  </si>
  <si>
    <t>965048150R00</t>
  </si>
  <si>
    <t>965043341R00</t>
  </si>
  <si>
    <t>967031742R00</t>
  </si>
  <si>
    <t>965041321R00</t>
  </si>
  <si>
    <t>721176103R00</t>
  </si>
  <si>
    <t>725249102R00</t>
  </si>
  <si>
    <t>551616940</t>
  </si>
  <si>
    <t>725249103R00</t>
  </si>
  <si>
    <t>721211501R00</t>
  </si>
  <si>
    <t>347240011RAA</t>
  </si>
  <si>
    <t>602011112RT1</t>
  </si>
  <si>
    <t>612403385R00</t>
  </si>
  <si>
    <t>784</t>
  </si>
  <si>
    <t>784402801R00</t>
  </si>
  <si>
    <t>784111101R00</t>
  </si>
  <si>
    <t>713121118RU1</t>
  </si>
  <si>
    <t>632411904R00</t>
  </si>
  <si>
    <t>632421220RT2</t>
  </si>
  <si>
    <t>713191100RT9</t>
  </si>
  <si>
    <t>631313711RM1</t>
  </si>
  <si>
    <t>273362021R00</t>
  </si>
  <si>
    <t>711</t>
  </si>
  <si>
    <t>711212000R00</t>
  </si>
  <si>
    <t>711212129R00</t>
  </si>
  <si>
    <t>711212231R00</t>
  </si>
  <si>
    <t>771</t>
  </si>
  <si>
    <t>776101121R00</t>
  </si>
  <si>
    <t>771575109R00</t>
  </si>
  <si>
    <t>58382410</t>
  </si>
  <si>
    <t>781491001RTY</t>
  </si>
  <si>
    <t>781</t>
  </si>
  <si>
    <t>781475124RT6</t>
  </si>
  <si>
    <t>771475014R00</t>
  </si>
  <si>
    <t>771479001R00</t>
  </si>
  <si>
    <t>781497111RS4</t>
  </si>
  <si>
    <t>781491001R00</t>
  </si>
  <si>
    <t>781491001RT1</t>
  </si>
  <si>
    <t>781491001RTX</t>
  </si>
  <si>
    <t>342012121R00</t>
  </si>
  <si>
    <t>342012122R00</t>
  </si>
  <si>
    <t>766</t>
  </si>
  <si>
    <t>766660034RA0</t>
  </si>
  <si>
    <t>55330368</t>
  </si>
  <si>
    <t>55330313</t>
  </si>
  <si>
    <t>55330333</t>
  </si>
  <si>
    <t>784115212R00</t>
  </si>
  <si>
    <t>P</t>
  </si>
  <si>
    <t>998011001R00</t>
  </si>
  <si>
    <t>S</t>
  </si>
  <si>
    <t>979082111R00</t>
  </si>
  <si>
    <t>979083116R00</t>
  </si>
  <si>
    <t>979990101R00</t>
  </si>
  <si>
    <t>TJ Sokol Brno - Obřany - Maloměřice - Oprava sprch a šaten ve sportovní hale</t>
  </si>
  <si>
    <t>Sportovní hala</t>
  </si>
  <si>
    <t>Zkrácený popis</t>
  </si>
  <si>
    <t>Rozměry</t>
  </si>
  <si>
    <t>Zařizovací předměty (demontáž a montáž)</t>
  </si>
  <si>
    <t>Zařizovací předměty</t>
  </si>
  <si>
    <t>Demontáž klozetů splachovacích</t>
  </si>
  <si>
    <t>Montáž klozetových mís normálních</t>
  </si>
  <si>
    <t>Demontáž pisoárů</t>
  </si>
  <si>
    <t>Zpětná montáž pisoárové mušle</t>
  </si>
  <si>
    <t>Demontáž umyvadel s výtokovými armaturami</t>
  </si>
  <si>
    <t>Zpětná montáž umyvadla s výtokovými armaturami</t>
  </si>
  <si>
    <t>Demontáž baterie nástěnné do G 3/4</t>
  </si>
  <si>
    <t>Montáž baterie umyv.a dřezové nástěnné</t>
  </si>
  <si>
    <t>Demontáž uzávěrek zápachových jednoduchých</t>
  </si>
  <si>
    <t>Montáž uzávěrek zápach.umyvadlových D 32</t>
  </si>
  <si>
    <t>Demontáž baterie sprch.diferenciální G 3/4x1</t>
  </si>
  <si>
    <t>Montáž baterií sprchových, pevná výška</t>
  </si>
  <si>
    <t>Demontáž ramene sprchy</t>
  </si>
  <si>
    <t>Montáž ramene sprchy + výměna hlavice za novou</t>
  </si>
  <si>
    <t>Sprchová hlavice (stejná nebo obdobná jako stávající)</t>
  </si>
  <si>
    <t>Vzduchotechnika</t>
  </si>
  <si>
    <t>Demontáž potrubí plechového 4hranného</t>
  </si>
  <si>
    <t>Montáž potrubí plechového čtyřhranného</t>
  </si>
  <si>
    <t>Bourací práce</t>
  </si>
  <si>
    <t>Vnitřní kanalizace</t>
  </si>
  <si>
    <t>Demontáž vpusti v podlaze (sprchy)</t>
  </si>
  <si>
    <t>Podlahy povlakové</t>
  </si>
  <si>
    <t>Odstranění PVC a koberců lepených bez podložky (lino v šatnách)</t>
  </si>
  <si>
    <t>Dočištění povrchu po demontáži PVC krytiny, lepené (pro pokládku dlažby)</t>
  </si>
  <si>
    <t>Bourání konstrukcí</t>
  </si>
  <si>
    <t>Vyvěšení dřevěných dveřních křídel pl. do 2 m2</t>
  </si>
  <si>
    <t>Vybourání kovových dveřních zárubní pl. do 2 m2</t>
  </si>
  <si>
    <t>Odsekání vnitřních keramických obkladů stěn nad 2 m2 (z příček k demolici)</t>
  </si>
  <si>
    <t>Bourání příček z tvárnic pórobetonových tl.100mm</t>
  </si>
  <si>
    <t>Přisekání plošné zdiva cihelného na MVC tl. 10 cm (6x rozšíření dveř.otvoru o 10cm)</t>
  </si>
  <si>
    <t>Bourání dlažeb keramických tl.10 mm, nad 1 m2</t>
  </si>
  <si>
    <t>Dočištění povrchu po vybourání dlažeb, tmel do 50% (plochy mimo sprchu)</t>
  </si>
  <si>
    <t>Bourání podkladů bet., potěr tl. 10 cm, nad 4 m2 (ve sprchách)</t>
  </si>
  <si>
    <t>Vybourání prahu z betonu tl.100mm (mezi sprchou a předsíňkou)</t>
  </si>
  <si>
    <t>Bourání lehčených mazanin, tl.10 cm, pl. 1 m2 (přípojka vpusti na stávající KG)</t>
  </si>
  <si>
    <t>Kanalizace</t>
  </si>
  <si>
    <t>Potrubí HT připojovací D 50 x 1,8 mm vč.napojení na stávající KG potrubí</t>
  </si>
  <si>
    <t>Montáž sprchového žlabu l=3000mm, kotveno do betonu vč. napojení hydroizolací</t>
  </si>
  <si>
    <t>Sprchový žlab ATYP s nerezovou mřížkou, rozměr cca 3000x80x80mm, 2x sifon, 2x DN50 odtok</t>
  </si>
  <si>
    <t>Montáž podlahové vpusti do podlahy z betonu vč. napojení hydroizolací</t>
  </si>
  <si>
    <t>Podlahová vpust 150x150mm, nerez</t>
  </si>
  <si>
    <t>Vysprávka stěn</t>
  </si>
  <si>
    <t>Stěny a příčky</t>
  </si>
  <si>
    <t>Přizdívka stěny v otvoru pro dveře, z cihel, tl.100mm (cca 10cm pro dveřní zárubeň)</t>
  </si>
  <si>
    <t>Omítky ze suchých směsí</t>
  </si>
  <si>
    <t>Omítka jádrová Cemix 082, do 10mm, ručně (doplnění roviny obkladů stěn)</t>
  </si>
  <si>
    <t>Úprava povrchů vnitřní</t>
  </si>
  <si>
    <t>Hrubá výplň rýh ve stěnách do 10x5 cm maltou z SMS</t>
  </si>
  <si>
    <t>Malby</t>
  </si>
  <si>
    <t>Odstranění malby oškrábáním v místnosti H do 3,8 m</t>
  </si>
  <si>
    <t>Penetrace podkladu pod omítku</t>
  </si>
  <si>
    <t>Podlahové konstrukce</t>
  </si>
  <si>
    <t>Podlahy a podlahové konstrukce</t>
  </si>
  <si>
    <t>Montáž dilatačního pásku podél stěn</t>
  </si>
  <si>
    <t>Penetrace pod cementový potěr</t>
  </si>
  <si>
    <t>Cementový potěr podlahový, vrstva 20mm, pevnost 30MPa, provedení ve spádu</t>
  </si>
  <si>
    <t>Položení separační fólie (pod beton)</t>
  </si>
  <si>
    <t>Mazanina betonová tl. 8 - 12 cm C 25/30, provedení ve spádu</t>
  </si>
  <si>
    <t>Výztuž betonových desek ze svařovaných sití KARI</t>
  </si>
  <si>
    <t>Hydroizolace</t>
  </si>
  <si>
    <t>Izolace proti vodě</t>
  </si>
  <si>
    <t>Penetrace podkladu pod hydroizolační nátěr,vč.dod. (podlahy)</t>
  </si>
  <si>
    <t>Penetrace podkladu pod hydroizolační nátěr,vč.dod. (stěny)</t>
  </si>
  <si>
    <t>Dvousložková cementová hydroizolační stěrka, ve 2 vrstvách na podlahách</t>
  </si>
  <si>
    <t>Dvousložková cementová hydroizolační stěrka, ve 2 vrstvách na stěnách</t>
  </si>
  <si>
    <t>Těsnicí pás do spoje podlaha - stěna - žlab</t>
  </si>
  <si>
    <t>Obklady a dlažba</t>
  </si>
  <si>
    <t>Podlahy z dlaždic</t>
  </si>
  <si>
    <t>Provedení penetrace podkladu pod.keram.dlažbu</t>
  </si>
  <si>
    <t>Montáž podlah keram.,hladké, tmel, 30x30cm a 60x60cm</t>
  </si>
  <si>
    <t>Keramická dlažba 300x300mm, R11</t>
  </si>
  <si>
    <t>Keramická dlažba 600x600mm, R10</t>
  </si>
  <si>
    <t>Keramická dlažba 600x600mm, R09</t>
  </si>
  <si>
    <t>Dilatační profil pro podlahu z keram.dlaždic, plastový</t>
  </si>
  <si>
    <t>Obklady (keramické)</t>
  </si>
  <si>
    <t>Obklad vnitřní stěn keramický, do tmele, 30x60cm</t>
  </si>
  <si>
    <t>Provedení penetrace podkladu pod.keram.obklady</t>
  </si>
  <si>
    <t>Obklad soklíků keram.rovných, tmel,výška 10 cm</t>
  </si>
  <si>
    <t>Keramický obklad 300x600mm</t>
  </si>
  <si>
    <t>Řezání dlaždic keramických pro soklíky</t>
  </si>
  <si>
    <t>Lišta hliníková ukončovací k obkladům tl.12,5mm</t>
  </si>
  <si>
    <t>Tmelení koutů a spojů silikonem</t>
  </si>
  <si>
    <t>Tmelení akrylátovým tmelem (soklík, obklad-strop)</t>
  </si>
  <si>
    <t>Vykružování děr do obkladů keramických, tl. do 10mm, D do 50mm</t>
  </si>
  <si>
    <t>Sanitární příčky</t>
  </si>
  <si>
    <t>D+M Sanitární příčka AL, elox, pisoárová 500x1500mm, výplň HPL RAL9035, kotveno do stěn</t>
  </si>
  <si>
    <t>D+M Sanitární příčka AL, elox, T-kabina v=2m, dveře š.600mm, výplň HPL RAL9035, kotveno do stěn</t>
  </si>
  <si>
    <t>Dveře a zárubně</t>
  </si>
  <si>
    <t>Konstrukce truhlářské</t>
  </si>
  <si>
    <t>Montáž dveří a obložkové zárubně šířky 80 cm vč. kování</t>
  </si>
  <si>
    <t>Zárubeň, plastová, bíla, tl.100-150mm</t>
  </si>
  <si>
    <t>Dveŕní křídlo, plastové, bílé</t>
  </si>
  <si>
    <t>Kování dveří, klika oboustr., nerez, mat</t>
  </si>
  <si>
    <t>Výmalba</t>
  </si>
  <si>
    <t>Penetrace podkladu pod výmalbu</t>
  </si>
  <si>
    <t>Malba standard, bílá, bez penetr.,2 x</t>
  </si>
  <si>
    <t>Odvoz a likvidace odpadu, přesuny hmot</t>
  </si>
  <si>
    <t>Vnitrostaveništní přesun hmot</t>
  </si>
  <si>
    <t>Přesun hmot pro budovy zděné výšky do 6 m</t>
  </si>
  <si>
    <t>Přesuny sutí</t>
  </si>
  <si>
    <t>Vnitrostaveništní doprava suti do 10 m</t>
  </si>
  <si>
    <t>Vodorovné přemístění suti na skládku do 5000 m</t>
  </si>
  <si>
    <t>Poplatek za sklád.suti-směs bet.a cihel do 30x30cm</t>
  </si>
  <si>
    <t>Doba výstavby:</t>
  </si>
  <si>
    <t>Začátek výstavby:</t>
  </si>
  <si>
    <t>Konec výstavby:</t>
  </si>
  <si>
    <t>Zpracováno dne:</t>
  </si>
  <si>
    <t>32 dní</t>
  </si>
  <si>
    <t>15.05.2024</t>
  </si>
  <si>
    <t>15.06.2024</t>
  </si>
  <si>
    <t>28.02.2024</t>
  </si>
  <si>
    <t>MJ</t>
  </si>
  <si>
    <t>soubor</t>
  </si>
  <si>
    <t>kus</t>
  </si>
  <si>
    <t>kpl</t>
  </si>
  <si>
    <t>m2</t>
  </si>
  <si>
    <t>m3</t>
  </si>
  <si>
    <t>m</t>
  </si>
  <si>
    <t>t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</si>
  <si>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</si>
  <si>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</si>
  <si>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</si>
  <si>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</si>
  <si>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</si>
  <si>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</si>
  <si>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</si>
  <si>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</si>
  <si>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Bc. Petr Hriš</t>
  </si>
  <si>
    <t>Náklady (Kč)</t>
  </si>
  <si>
    <t>Dodávka</t>
  </si>
  <si>
    <t>Celkem: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</si>
  <si>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</si>
  <si>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</si>
  <si>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</si>
  <si>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</si>
  <si>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</si>
  <si>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</si>
  <si>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</si>
  <si>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</si>
  <si>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</si>
  <si>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</si>
  <si>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</si>
  <si>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</si>
  <si>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</si>
  <si>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</si>
  <si>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</si>
  <si>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</si>
  <si>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</si>
  <si>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</si>
  <si>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</si>
  <si>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</si>
  <si>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</si>
  <si>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</si>
  <si>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</si>
  <si>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725_</t>
  </si>
  <si>
    <t>728_</t>
  </si>
  <si>
    <t>721_</t>
  </si>
  <si>
    <t>776_</t>
  </si>
  <si>
    <t>96_</t>
  </si>
  <si>
    <t>34_</t>
  </si>
  <si>
    <t>60_</t>
  </si>
  <si>
    <t>61_</t>
  </si>
  <si>
    <t>784_</t>
  </si>
  <si>
    <t>63_</t>
  </si>
  <si>
    <t>711_</t>
  </si>
  <si>
    <t>771_</t>
  </si>
  <si>
    <t>781_</t>
  </si>
  <si>
    <t>766_</t>
  </si>
  <si>
    <t>P_</t>
  </si>
  <si>
    <t>S_</t>
  </si>
  <si>
    <t>001_72_</t>
  </si>
  <si>
    <t>002_72_</t>
  </si>
  <si>
    <t>003_72_</t>
  </si>
  <si>
    <t>003_77_</t>
  </si>
  <si>
    <t>003_9_</t>
  </si>
  <si>
    <t>004_72_</t>
  </si>
  <si>
    <t>005_3_</t>
  </si>
  <si>
    <t>005_6_</t>
  </si>
  <si>
    <t>005_78_</t>
  </si>
  <si>
    <t>006_6_</t>
  </si>
  <si>
    <t>007_71_</t>
  </si>
  <si>
    <t>008_77_</t>
  </si>
  <si>
    <t>008_78_</t>
  </si>
  <si>
    <t>009_3_</t>
  </si>
  <si>
    <t>010_76_</t>
  </si>
  <si>
    <t>011_78_</t>
  </si>
  <si>
    <t>012_9_</t>
  </si>
  <si>
    <t>001_</t>
  </si>
  <si>
    <t>002_</t>
  </si>
  <si>
    <t>003_</t>
  </si>
  <si>
    <t>004_</t>
  </si>
  <si>
    <t>005_</t>
  </si>
  <si>
    <t>006_</t>
  </si>
  <si>
    <t>007_</t>
  </si>
  <si>
    <t>008_</t>
  </si>
  <si>
    <t>009_</t>
  </si>
  <si>
    <t>010_</t>
  </si>
  <si>
    <t>011_</t>
  </si>
  <si>
    <t>012_</t>
  </si>
  <si>
    <t>MAT</t>
  </si>
  <si>
    <t>WORK</t>
  </si>
  <si>
    <t>CELK</t>
  </si>
  <si>
    <t>ISWORK</t>
  </si>
  <si>
    <t>M</t>
  </si>
  <si>
    <t>GROUPCODE</t>
  </si>
  <si>
    <t>Slepý stavební rozpočet - rekapitulace</t>
  </si>
  <si>
    <t>Objekt</t>
  </si>
  <si>
    <t>Náklady (Kč) - dodávka</t>
  </si>
  <si>
    <t>Náklady (Kč) - Montáž</t>
  </si>
  <si>
    <t>Náklady (Kč) - celkem</t>
  </si>
  <si>
    <t>F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</si>
  <si>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</si>
  <si>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</si>
  <si>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</si>
  <si>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</si>
  <si>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</si>
  <si>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</si>
  <si>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</si>
  <si>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</si>
  <si>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</si>
  <si>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</si>
  <si>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</si>
  <si>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</si>
  <si>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</si>
  <si>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</si>
  <si>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</si>
  <si>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</si>
  <si>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</si>
  <si>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</si>
  <si>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</si>
  <si>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</si>
  <si>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</si>
  <si>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</si>
  <si>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</si>
  <si>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</si>
  <si>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</si>
  <si>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</si>
  <si>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</si>
  <si>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</si>
  <si>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</si>
  <si>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</si>
  <si>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</si>
  <si>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</si>
  <si>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</si>
  <si>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</si>
  <si>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</si>
  <si>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</si>
  <si>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Koordinační činnost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</si>
</sst>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0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8"/>
      <color indexed="30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9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4" fillId="33" borderId="11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11" fillId="34" borderId="21" xfId="0" applyNumberFormat="1" applyFont="1" applyFill="1" applyBorder="1" applyAlignment="1" applyProtection="1">
      <alignment horizontal="center" vertical="center"/>
      <protection/>
    </xf>
    <xf numFmtId="49" fontId="12" fillId="0" borderId="22" xfId="0" applyNumberFormat="1" applyFont="1" applyFill="1" applyBorder="1" applyAlignment="1" applyProtection="1">
      <alignment horizontal="left" vertical="center"/>
      <protection/>
    </xf>
    <xf numFmtId="49" fontId="12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7" fillId="0" borderId="25" xfId="0" applyNumberFormat="1" applyFont="1" applyFill="1" applyBorder="1" applyAlignment="1" applyProtection="1">
      <alignment horizontal="left" vertical="center"/>
      <protection/>
    </xf>
    <xf numFmtId="49" fontId="13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" fontId="13" fillId="0" borderId="21" xfId="0" applyNumberFormat="1" applyFont="1" applyFill="1" applyBorder="1" applyAlignment="1" applyProtection="1">
      <alignment horizontal="right" vertical="center"/>
      <protection/>
    </xf>
    <xf numFmtId="49" fontId="13" fillId="0" borderId="21" xfId="0" applyNumberFormat="1" applyFont="1" applyFill="1" applyBorder="1" applyAlignment="1" applyProtection="1">
      <alignment horizontal="right" vertical="center"/>
      <protection/>
    </xf>
    <xf numFmtId="4" fontId="13" fillId="0" borderId="27" xfId="0" applyNumberFormat="1" applyFont="1" applyFill="1" applyBorder="1" applyAlignment="1" applyProtection="1">
      <alignment horizontal="righ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" fontId="12" fillId="34" borderId="31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5" fillId="35" borderId="34" xfId="0" applyNumberFormat="1" applyFont="1" applyFill="1" applyBorder="1" applyAlignment="1" applyProtection="1">
      <alignment horizontal="left" vertical="center"/>
      <protection/>
    </xf>
    <xf numFmtId="49" fontId="16" fillId="35" borderId="34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" fontId="16" fillId="35" borderId="34" xfId="0" applyNumberFormat="1" applyFont="1" applyFill="1" applyBorder="1" applyAlignment="1" applyProtection="1">
      <alignment horizontal="right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7" fillId="0" borderId="11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4" fontId="17" fillId="0" borderId="0" xfId="0" applyNumberFormat="1" applyFont="1" applyFill="1" applyBorder="1" applyAlignment="1" applyProtection="1">
      <alignment horizontal="right" vertical="center"/>
      <protection/>
    </xf>
    <xf numFmtId="49" fontId="15" fillId="35" borderId="38" xfId="0" applyNumberFormat="1" applyFont="1" applyFill="1" applyBorder="1" applyAlignment="1" applyProtection="1">
      <alignment horizontal="left" vertical="center"/>
      <protection/>
    </xf>
    <xf numFmtId="49" fontId="16" fillId="35" borderId="38" xfId="0" applyNumberFormat="1" applyFont="1" applyFill="1" applyBorder="1" applyAlignment="1" applyProtection="1">
      <alignment horizontal="left" vertical="center"/>
      <protection/>
    </xf>
    <xf numFmtId="4" fontId="16" fillId="35" borderId="38" xfId="0" applyNumberFormat="1" applyFont="1" applyFill="1" applyBorder="1" applyAlignment="1" applyProtection="1">
      <alignment horizontal="right" vertical="center"/>
      <protection/>
    </xf>
    <xf numFmtId="49" fontId="1" fillId="36" borderId="39" xfId="0" applyNumberFormat="1" applyFont="1" applyFill="1" applyBorder="1" applyAlignment="1" applyProtection="1">
      <alignment horizontal="left" vertical="center"/>
      <protection/>
    </xf>
    <xf numFmtId="49" fontId="1" fillId="36" borderId="25" xfId="0" applyNumberFormat="1" applyFont="1" applyFill="1" applyBorder="1" applyAlignment="1" applyProtection="1">
      <alignment horizontal="left" vertical="center"/>
      <protection/>
    </xf>
    <xf numFmtId="4" fontId="1" fillId="36" borderId="25" xfId="0" applyNumberFormat="1" applyFont="1" applyFill="1" applyBorder="1" applyAlignment="1" applyProtection="1">
      <alignment horizontal="right" vertical="center"/>
      <protection/>
    </xf>
    <xf numFmtId="49" fontId="1" fillId="36" borderId="11" xfId="0" applyNumberFormat="1" applyFont="1" applyFill="1" applyBorder="1" applyAlignment="1" applyProtection="1">
      <alignment horizontal="left" vertical="center"/>
      <protection/>
    </xf>
    <xf numFmtId="49" fontId="1" fillId="36" borderId="0" xfId="0" applyNumberFormat="1" applyFont="1" applyFill="1" applyBorder="1" applyAlignment="1" applyProtection="1">
      <alignment horizontal="left" vertical="center"/>
      <protection/>
    </xf>
    <xf numFmtId="4" fontId="1" fillId="36" borderId="0" xfId="0" applyNumberFormat="1" applyFont="1" applyFill="1" applyBorder="1" applyAlignment="1" applyProtection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10" fillId="0" borderId="42" xfId="0" applyNumberFormat="1" applyFont="1" applyFill="1" applyBorder="1" applyAlignment="1" applyProtection="1">
      <alignment horizontal="center" vertical="center"/>
      <protection/>
    </xf>
    <xf numFmtId="0" fontId="10" fillId="0" borderId="42" xfId="0" applyNumberFormat="1" applyFont="1" applyFill="1" applyBorder="1" applyAlignment="1" applyProtection="1">
      <alignment horizontal="center" vertical="center"/>
      <protection/>
    </xf>
    <xf numFmtId="49" fontId="14" fillId="0" borderId="30" xfId="0" applyNumberFormat="1" applyFont="1" applyFill="1" applyBorder="1" applyAlignment="1" applyProtection="1">
      <alignment horizontal="left" vertical="center"/>
      <protection/>
    </xf>
    <xf numFmtId="0" fontId="14" fillId="0" borderId="31" xfId="0" applyNumberFormat="1" applyFont="1" applyFill="1" applyBorder="1" applyAlignment="1" applyProtection="1">
      <alignment horizontal="left" vertical="center"/>
      <protection/>
    </xf>
    <xf numFmtId="49" fontId="13" fillId="0" borderId="30" xfId="0" applyNumberFormat="1" applyFont="1" applyFill="1" applyBorder="1" applyAlignment="1" applyProtection="1">
      <alignment horizontal="left" vertical="center"/>
      <protection/>
    </xf>
    <xf numFmtId="0" fontId="13" fillId="0" borderId="31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0" fontId="12" fillId="0" borderId="31" xfId="0" applyNumberFormat="1" applyFont="1" applyFill="1" applyBorder="1" applyAlignment="1" applyProtection="1">
      <alignment horizontal="left" vertical="center"/>
      <protection/>
    </xf>
    <xf numFmtId="49" fontId="12" fillId="34" borderId="30" xfId="0" applyNumberFormat="1" applyFont="1" applyFill="1" applyBorder="1" applyAlignment="1" applyProtection="1">
      <alignment horizontal="left" vertical="center"/>
      <protection/>
    </xf>
    <xf numFmtId="0" fontId="12" fillId="34" borderId="42" xfId="0" applyNumberFormat="1" applyFont="1" applyFill="1" applyBorder="1" applyAlignment="1" applyProtection="1">
      <alignment horizontal="left" vertical="center"/>
      <protection/>
    </xf>
    <xf numFmtId="49" fontId="13" fillId="0" borderId="43" xfId="0" applyNumberFormat="1" applyFont="1" applyFill="1" applyBorder="1" applyAlignment="1" applyProtection="1">
      <alignment horizontal="left" vertical="center"/>
      <protection/>
    </xf>
    <xf numFmtId="0" fontId="13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44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45" xfId="0" applyNumberFormat="1" applyFont="1" applyFill="1" applyBorder="1" applyAlignment="1" applyProtection="1">
      <alignment horizontal="left" vertical="center"/>
      <protection/>
    </xf>
    <xf numFmtId="49" fontId="13" fillId="0" borderId="46" xfId="0" applyNumberFormat="1" applyFont="1" applyFill="1" applyBorder="1" applyAlignment="1" applyProtection="1">
      <alignment horizontal="left" vertical="center"/>
      <protection/>
    </xf>
    <xf numFmtId="0" fontId="13" fillId="0" borderId="47" xfId="0" applyNumberFormat="1" applyFont="1" applyFill="1" applyBorder="1" applyAlignment="1" applyProtection="1">
      <alignment horizontal="left" vertical="center"/>
      <protection/>
    </xf>
    <xf numFmtId="0" fontId="13" fillId="0" borderId="48" xfId="0" applyNumberFormat="1" applyFont="1" applyFill="1" applyBorder="1" applyAlignment="1" applyProtection="1">
      <alignment horizontal="left" vertic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49" fontId="3" fillId="0" borderId="51" xfId="0" applyNumberFormat="1" applyFont="1" applyFill="1" applyBorder="1" applyAlignment="1" applyProtection="1">
      <alignment horizontal="left" vertical="center"/>
      <protection/>
    </xf>
    <xf numFmtId="0" fontId="3" fillId="0" borderId="52" xfId="0" applyNumberFormat="1" applyFont="1" applyFill="1" applyBorder="1" applyAlignment="1" applyProtection="1">
      <alignment horizontal="left" vertical="center"/>
      <protection/>
    </xf>
    <xf numFmtId="49" fontId="1" fillId="36" borderId="25" xfId="0" applyNumberFormat="1" applyFont="1" applyFill="1" applyBorder="1" applyAlignment="1" applyProtection="1">
      <alignment horizontal="left" vertical="center"/>
      <protection/>
    </xf>
    <xf numFmtId="0" fontId="1" fillId="36" borderId="25" xfId="0" applyNumberFormat="1" applyFont="1" applyFill="1" applyBorder="1" applyAlignment="1" applyProtection="1">
      <alignment horizontal="left" vertical="center"/>
      <protection/>
    </xf>
    <xf numFmtId="49" fontId="1" fillId="36" borderId="0" xfId="0" applyNumberFormat="1" applyFont="1" applyFill="1" applyBorder="1" applyAlignment="1" applyProtection="1">
      <alignment horizontal="left" vertical="center"/>
      <protection/>
    </xf>
    <xf numFmtId="0" fontId="1" fillId="36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49" fontId="16" fillId="35" borderId="56" xfId="0" applyNumberFormat="1" applyFont="1" applyFill="1" applyBorder="1" applyAlignment="1" applyProtection="1">
      <alignment horizontal="left" vertical="center"/>
      <protection/>
    </xf>
    <xf numFmtId="0" fontId="8" fillId="37" borderId="25" xfId="0" applyNumberFormat="1" applyFont="1" applyFill="1" applyBorder="1" applyAlignment="1" applyProtection="1">
      <alignment horizontal="left" vertical="center"/>
      <protection/>
    </xf>
    <xf numFmtId="0" fontId="8" fillId="37" borderId="34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16" fillId="35" borderId="57" xfId="0" applyNumberFormat="1" applyFont="1" applyFill="1" applyBorder="1" applyAlignment="1" applyProtection="1">
      <alignment horizontal="left" vertical="center"/>
      <protection/>
    </xf>
    <xf numFmtId="0" fontId="8" fillId="37" borderId="0" xfId="0" applyNumberFormat="1" applyFont="1" applyFill="1" applyBorder="1" applyAlignment="1" applyProtection="1">
      <alignment horizontal="left" vertical="center"/>
      <protection/>
    </xf>
    <xf numFmtId="0" fontId="8" fillId="37" borderId="38" xfId="0" applyNumberFormat="1" applyFont="1" applyFill="1" applyBorder="1" applyAlignment="1" applyProtection="1">
      <alignment horizontal="left" vertical="center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0000"/>
      <rgbColor rgb="00000000"/>
      <rgbColor rgb="00C0C0C0"/>
      <rgbColor rgb="00C0C0C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G16" sqref="G16:H16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1"/>
      <c r="B1" s="34"/>
      <c r="C1" s="74" t="s">
        <v>403</v>
      </c>
      <c r="D1" s="75"/>
      <c r="E1" s="75"/>
      <c r="F1" s="75"/>
      <c r="G1" s="75"/>
      <c r="H1" s="75"/>
      <c r="I1" s="75"/>
    </row>
    <row r="2" spans="1:10" ht="12.75">
      <c r="A2" s="76" t="s">
        <v>1</v>
      </c>
      <c r="B2" s="77"/>
      <c r="C2" s="80" t="str">
        <f>'Stavební rozpočet'!C2</f>
        <v>TJ Sokol Brno - Obřany - Maloměřice - Oprava sprch a šaten ve sportovní hale</v>
      </c>
      <c r="D2" s="81"/>
      <c r="E2" s="83" t="s">
        <v>296</v>
      </c>
      <c r="F2" s="83" t="str">
        <f>'Stavební rozpočet'!I2</f>
        <v> </v>
      </c>
      <c r="G2" s="77"/>
      <c r="H2" s="83" t="s">
        <v>419</v>
      </c>
      <c r="I2" s="84"/>
      <c r="J2" s="18"/>
    </row>
    <row r="3" spans="1:10" ht="25.5" customHeight="1">
      <c r="A3" s="78"/>
      <c r="B3" s="79"/>
      <c r="C3" s="82"/>
      <c r="D3" s="82"/>
      <c r="E3" s="79"/>
      <c r="F3" s="79"/>
      <c r="G3" s="79"/>
      <c r="H3" s="79"/>
      <c r="I3" s="85"/>
      <c r="J3" s="18"/>
    </row>
    <row r="4" spans="1:10" ht="12.75">
      <c r="A4" s="86" t="s">
        <v>2</v>
      </c>
      <c r="B4" s="79"/>
      <c r="C4" s="87" t="str">
        <f>'Stavební rozpočet'!C4</f>
        <v>Sportovní hala</v>
      </c>
      <c r="D4" s="79"/>
      <c r="E4" s="87" t="s">
        <v>297</v>
      </c>
      <c r="F4" s="87" t="str">
        <f>'Stavební rozpočet'!I4</f>
        <v> </v>
      </c>
      <c r="G4" s="79"/>
      <c r="H4" s="87" t="s">
        <v>419</v>
      </c>
      <c r="I4" s="88"/>
      <c r="J4" s="18"/>
    </row>
    <row r="5" spans="1:10" ht="12.75">
      <c r="A5" s="78"/>
      <c r="B5" s="79"/>
      <c r="C5" s="79"/>
      <c r="D5" s="79"/>
      <c r="E5" s="79"/>
      <c r="F5" s="79"/>
      <c r="G5" s="79"/>
      <c r="H5" s="79"/>
      <c r="I5" s="85"/>
      <c r="J5" s="18"/>
    </row>
    <row r="6" spans="1:10" ht="12.75">
      <c r="A6" s="86" t="s">
        <v>3</v>
      </c>
      <c r="B6" s="79"/>
      <c r="C6" s="87" t="str">
        <f>'Stavební rozpočet'!C6</f>
        <v> </v>
      </c>
      <c r="D6" s="79"/>
      <c r="E6" s="87" t="s">
        <v>298</v>
      </c>
      <c r="F6" s="87" t="str">
        <f>'Stavební rozpočet'!I6</f>
        <v> </v>
      </c>
      <c r="G6" s="79"/>
      <c r="H6" s="87" t="s">
        <v>419</v>
      </c>
      <c r="I6" s="88"/>
      <c r="J6" s="18"/>
    </row>
    <row r="7" spans="1:10" ht="12.75">
      <c r="A7" s="78"/>
      <c r="B7" s="79"/>
      <c r="C7" s="79"/>
      <c r="D7" s="79"/>
      <c r="E7" s="79"/>
      <c r="F7" s="79"/>
      <c r="G7" s="79"/>
      <c r="H7" s="79"/>
      <c r="I7" s="85"/>
      <c r="J7" s="18"/>
    </row>
    <row r="8" spans="1:10" ht="12.75">
      <c r="A8" s="86" t="s">
        <v>280</v>
      </c>
      <c r="B8" s="79"/>
      <c r="C8" s="87" t="str">
        <f>'Stavební rozpočet'!F4</f>
        <v>15.05.2024</v>
      </c>
      <c r="D8" s="79"/>
      <c r="E8" s="87" t="s">
        <v>281</v>
      </c>
      <c r="F8" s="87" t="str">
        <f>'Stavební rozpočet'!F6</f>
        <v>15.06.2024</v>
      </c>
      <c r="G8" s="79"/>
      <c r="H8" s="89" t="s">
        <v>420</v>
      </c>
      <c r="I8" s="88" t="s">
        <v>84</v>
      </c>
      <c r="J8" s="18"/>
    </row>
    <row r="9" spans="1:10" ht="12.75">
      <c r="A9" s="78"/>
      <c r="B9" s="79"/>
      <c r="C9" s="79"/>
      <c r="D9" s="79"/>
      <c r="E9" s="79"/>
      <c r="F9" s="79"/>
      <c r="G9" s="79"/>
      <c r="H9" s="79"/>
      <c r="I9" s="85"/>
      <c r="J9" s="18"/>
    </row>
    <row r="10" spans="1:10" ht="12.75">
      <c r="A10" s="86" t="s">
        <v>4</v>
      </c>
      <c r="B10" s="79"/>
      <c r="C10" s="87" t="str">
        <f>'Stavební rozpočet'!C8</f>
        <v> </v>
      </c>
      <c r="D10" s="79"/>
      <c r="E10" s="87" t="s">
        <v>299</v>
      </c>
      <c r="F10" s="87" t="str">
        <f>'Stavební rozpočet'!I8</f>
        <v>Bc. Petr Hriš</v>
      </c>
      <c r="G10" s="79"/>
      <c r="H10" s="89" t="s">
        <v>421</v>
      </c>
      <c r="I10" s="92" t="str">
        <f>'Stavební rozpočet'!F8</f>
        <v>28.02.2024</v>
      </c>
      <c r="J10" s="18"/>
    </row>
    <row r="11" spans="1:10" ht="12.75">
      <c r="A11" s="90"/>
      <c r="B11" s="91"/>
      <c r="C11" s="91"/>
      <c r="D11" s="91"/>
      <c r="E11" s="91"/>
      <c r="F11" s="91"/>
      <c r="G11" s="91"/>
      <c r="H11" s="91"/>
      <c r="I11" s="93"/>
      <c r="J11" s="18"/>
    </row>
    <row r="12" spans="1:9" ht="23.25" customHeight="1">
      <c r="A12" s="94" t="s">
        <v>388</v>
      </c>
      <c r="B12" s="95"/>
      <c r="C12" s="95"/>
      <c r="D12" s="95"/>
      <c r="E12" s="95"/>
      <c r="F12" s="95"/>
      <c r="G12" s="95"/>
      <c r="H12" s="95"/>
      <c r="I12" s="95"/>
    </row>
    <row r="13" spans="1:10" ht="26.25" customHeight="1">
      <c r="A13" s="35" t="s">
        <v>389</v>
      </c>
      <c r="B13" s="96" t="s">
        <v>401</v>
      </c>
      <c r="C13" s="97"/>
      <c r="D13" s="35" t="s">
        <v>404</v>
      </c>
      <c r="E13" s="96" t="s">
        <v>410</v>
      </c>
      <c r="F13" s="97"/>
      <c r="G13" s="35" t="s">
        <v>411</v>
      </c>
      <c r="H13" s="96" t="s">
        <v>422</v>
      </c>
      <c r="I13" s="97"/>
      <c r="J13" s="18"/>
    </row>
    <row r="14" spans="1:10" ht="15" customHeight="1">
      <c r="A14" s="36" t="s">
        <v>390</v>
      </c>
      <c r="B14" s="40" t="s">
        <v>402</v>
      </c>
      <c r="C14" s="44">
        <f>SUM('Stavební rozpočet'!AA12:AA121)</f>
        <v>0</v>
      </c>
      <c r="D14" s="98" t="s">
        <v>423</v>
      </c>
      <c r="E14" s="99"/>
      <c r="F14" s="44"/>
      <c r="G14" s="98"/>
      <c r="H14" s="99"/>
      <c r="I14" s="44"/>
      <c r="J14" s="18"/>
    </row>
    <row r="15" spans="1:10" ht="15" customHeight="1">
      <c r="A15" s="37"/>
      <c r="B15" s="40" t="s">
        <v>307</v>
      </c>
      <c r="C15" s="44">
        <f>SUM('Stavební rozpočet'!AB12:AB121)</f>
        <v>0</v>
      </c>
      <c r="D15" s="98"/>
      <c r="E15" s="99"/>
      <c r="F15" s="44"/>
      <c r="G15" s="98"/>
      <c r="H15" s="99"/>
      <c r="I15" s="44"/>
      <c r="J15" s="18"/>
    </row>
    <row r="16" spans="1:10" ht="15" customHeight="1">
      <c r="A16" s="36" t="s">
        <v>391</v>
      </c>
      <c r="B16" s="40" t="s">
        <v>402</v>
      </c>
      <c r="C16" s="44">
        <f>SUM('Stavební rozpočet'!AC12:AC121)</f>
        <v>0</v>
      </c>
      <c r="D16" s="98"/>
      <c r="E16" s="99"/>
      <c r="F16" s="44"/>
      <c r="G16" s="98"/>
      <c r="H16" s="99"/>
      <c r="I16" s="44"/>
      <c r="J16" s="18"/>
    </row>
    <row r="17" spans="1:10" ht="15" customHeight="1">
      <c r="A17" s="37"/>
      <c r="B17" s="40" t="s">
        <v>307</v>
      </c>
      <c r="C17" s="44">
        <f>SUM('Stavební rozpočet'!AD12:AD121)</f>
        <v>0</v>
      </c>
      <c r="D17" s="98"/>
      <c r="E17" s="99"/>
      <c r="F17" s="45"/>
      <c r="G17" s="98"/>
      <c r="H17" s="99"/>
      <c r="I17" s="44"/>
      <c r="J17" s="18"/>
    </row>
    <row r="18" spans="1:10" ht="15" customHeight="1">
      <c r="A18" s="36" t="s">
        <v>392</v>
      </c>
      <c r="B18" s="40" t="s">
        <v>402</v>
      </c>
      <c r="C18" s="44">
        <f>SUM('Stavební rozpočet'!AE12:AE121)</f>
        <v>0</v>
      </c>
      <c r="D18" s="98"/>
      <c r="E18" s="99"/>
      <c r="F18" s="45"/>
      <c r="G18" s="98"/>
      <c r="H18" s="99"/>
      <c r="I18" s="44"/>
      <c r="J18" s="18"/>
    </row>
    <row r="19" spans="1:10" ht="15" customHeight="1">
      <c r="A19" s="37"/>
      <c r="B19" s="40" t="s">
        <v>307</v>
      </c>
      <c r="C19" s="44">
        <f>SUM('Stavební rozpočet'!AF12:AF121)</f>
        <v>0</v>
      </c>
      <c r="D19" s="98"/>
      <c r="E19" s="99"/>
      <c r="F19" s="45"/>
      <c r="G19" s="98"/>
      <c r="H19" s="99"/>
      <c r="I19" s="44"/>
      <c r="J19" s="18"/>
    </row>
    <row r="20" spans="1:10" ht="15" customHeight="1">
      <c r="A20" s="100" t="s">
        <v>393</v>
      </c>
      <c r="B20" s="101"/>
      <c r="C20" s="44">
        <f>SUM('Stavební rozpočet'!AG12:AG121)</f>
        <v>0</v>
      </c>
      <c r="D20" s="98"/>
      <c r="E20" s="99"/>
      <c r="F20" s="45"/>
      <c r="G20" s="98"/>
      <c r="H20" s="99"/>
      <c r="I20" s="45"/>
      <c r="J20" s="18"/>
    </row>
    <row r="21" spans="1:10" ht="15" customHeight="1">
      <c r="A21" s="100" t="s">
        <v>394</v>
      </c>
      <c r="B21" s="101"/>
      <c r="C21" s="44">
        <f>SUM('Stavební rozpočet'!Y12:Y121)</f>
        <v>0</v>
      </c>
      <c r="D21" s="98"/>
      <c r="E21" s="99"/>
      <c r="F21" s="45"/>
      <c r="G21" s="98"/>
      <c r="H21" s="99"/>
      <c r="I21" s="45"/>
      <c r="J21" s="18"/>
    </row>
    <row r="22" spans="1:10" ht="16.5" customHeight="1">
      <c r="A22" s="100" t="s">
        <v>395</v>
      </c>
      <c r="B22" s="101"/>
      <c r="C22" s="44">
        <f>SUM(C14:C21)</f>
        <v>0</v>
      </c>
      <c r="D22" s="100" t="s">
        <v>405</v>
      </c>
      <c r="E22" s="101"/>
      <c r="F22" s="44">
        <f>SUM(F14:F21)</f>
        <v>0</v>
      </c>
      <c r="G22" s="100" t="s">
        <v>412</v>
      </c>
      <c r="H22" s="101"/>
      <c r="I22" s="44">
        <f>SUM(I14:I21)</f>
        <v>0</v>
      </c>
      <c r="J22" s="18"/>
    </row>
    <row r="23" spans="1:10" ht="15" customHeight="1">
      <c r="A23" s="5"/>
      <c r="B23" s="5"/>
      <c r="C23" s="42"/>
      <c r="D23" s="100" t="s">
        <v>406</v>
      </c>
      <c r="E23" s="101"/>
      <c r="F23" s="46">
        <v>0</v>
      </c>
      <c r="G23" s="100" t="s">
        <v>413</v>
      </c>
      <c r="H23" s="101"/>
      <c r="I23" s="44">
        <v>0</v>
      </c>
      <c r="J23" s="18"/>
    </row>
    <row r="24" spans="4:9" ht="15" customHeight="1">
      <c r="D24" s="5"/>
      <c r="E24" s="5"/>
      <c r="F24" s="47"/>
      <c r="G24" s="100" t="s">
        <v>414</v>
      </c>
      <c r="H24" s="101"/>
      <c r="I24" s="49"/>
    </row>
    <row r="25" spans="6:10" ht="15" customHeight="1">
      <c r="F25" s="48"/>
      <c r="G25" s="100" t="s">
        <v>415</v>
      </c>
      <c r="H25" s="101"/>
      <c r="I25" s="44">
        <v>0</v>
      </c>
      <c r="J25" s="18"/>
    </row>
    <row r="26" spans="1:9" ht="12.75">
      <c r="A26" s="34"/>
      <c r="B26" s="34"/>
      <c r="C26" s="34"/>
      <c r="G26" s="5"/>
      <c r="H26" s="5"/>
      <c r="I26" s="5"/>
    </row>
    <row r="27" spans="1:9" ht="15" customHeight="1">
      <c r="A27" s="102" t="s">
        <v>396</v>
      </c>
      <c r="B27" s="103"/>
      <c r="C27" s="50">
        <f>SUM('Stavební rozpočet'!AI12:AI121)</f>
        <v>0</v>
      </c>
      <c r="D27" s="43"/>
      <c r="E27" s="34"/>
      <c r="F27" s="34"/>
      <c r="G27" s="34"/>
      <c r="H27" s="34"/>
      <c r="I27" s="34"/>
    </row>
    <row r="28" spans="1:10" ht="15" customHeight="1">
      <c r="A28" s="102" t="s">
        <v>397</v>
      </c>
      <c r="B28" s="103"/>
      <c r="C28" s="50">
        <f>SUM('Stavební rozpočet'!AJ12:AJ121)+(F22+I22+F23+I23+I24+I25)</f>
        <v>0</v>
      </c>
      <c r="D28" s="102" t="s">
        <v>407</v>
      </c>
      <c r="E28" s="103"/>
      <c r="F28" s="50">
        <f>ROUND(C28*(15/100),2)</f>
        <v>0</v>
      </c>
      <c r="G28" s="102" t="s">
        <v>416</v>
      </c>
      <c r="H28" s="103"/>
      <c r="I28" s="50">
        <f>SUM(C27:C29)</f>
        <v>0</v>
      </c>
      <c r="J28" s="18"/>
    </row>
    <row r="29" spans="1:10" ht="15" customHeight="1">
      <c r="A29" s="102" t="s">
        <v>398</v>
      </c>
      <c r="B29" s="103"/>
      <c r="C29" s="50">
        <f>SUM('Stavební rozpočet'!AK12:AK121)</f>
        <v>0</v>
      </c>
      <c r="D29" s="102" t="s">
        <v>408</v>
      </c>
      <c r="E29" s="103"/>
      <c r="F29" s="50">
        <f>ROUND(C29*(21/100),2)</f>
        <v>0</v>
      </c>
      <c r="G29" s="102" t="s">
        <v>417</v>
      </c>
      <c r="H29" s="103"/>
      <c r="I29" s="50">
        <f>SUM(F28:F29)+I28</f>
        <v>0</v>
      </c>
      <c r="J29" s="18"/>
    </row>
    <row r="30" spans="1:9" ht="12.75">
      <c r="A30" s="38"/>
      <c r="B30" s="38"/>
      <c r="C30" s="38"/>
      <c r="D30" s="38"/>
      <c r="E30" s="38"/>
      <c r="F30" s="38"/>
      <c r="G30" s="38"/>
      <c r="H30" s="38"/>
      <c r="I30" s="38"/>
    </row>
    <row r="31" spans="1:10" ht="14.25" customHeight="1">
      <c r="A31" s="104" t="s">
        <v>399</v>
      </c>
      <c r="B31" s="105"/>
      <c r="C31" s="106"/>
      <c r="D31" s="104" t="s">
        <v>409</v>
      </c>
      <c r="E31" s="105"/>
      <c r="F31" s="106"/>
      <c r="G31" s="104" t="s">
        <v>418</v>
      </c>
      <c r="H31" s="105"/>
      <c r="I31" s="106"/>
      <c r="J31" s="19"/>
    </row>
    <row r="32" spans="1:10" ht="14.25" customHeight="1">
      <c r="A32" s="107"/>
      <c r="B32" s="108"/>
      <c r="C32" s="109"/>
      <c r="D32" s="107"/>
      <c r="E32" s="108"/>
      <c r="F32" s="109"/>
      <c r="G32" s="107"/>
      <c r="H32" s="108"/>
      <c r="I32" s="109"/>
      <c r="J32" s="19"/>
    </row>
    <row r="33" spans="1:10" ht="14.25" customHeight="1">
      <c r="A33" s="107"/>
      <c r="B33" s="108"/>
      <c r="C33" s="109"/>
      <c r="D33" s="107"/>
      <c r="E33" s="108"/>
      <c r="F33" s="109"/>
      <c r="G33" s="107"/>
      <c r="H33" s="108"/>
      <c r="I33" s="109"/>
      <c r="J33" s="19"/>
    </row>
    <row r="34" spans="1:10" ht="14.25" customHeight="1">
      <c r="A34" s="107"/>
      <c r="B34" s="108"/>
      <c r="C34" s="109"/>
      <c r="D34" s="107"/>
      <c r="E34" s="108"/>
      <c r="F34" s="109"/>
      <c r="G34" s="107"/>
      <c r="H34" s="108"/>
      <c r="I34" s="109"/>
      <c r="J34" s="19"/>
    </row>
    <row r="35" spans="1:10" ht="14.25" customHeight="1">
      <c r="A35" s="110" t="s">
        <v>400</v>
      </c>
      <c r="B35" s="111"/>
      <c r="C35" s="112"/>
      <c r="D35" s="110" t="s">
        <v>400</v>
      </c>
      <c r="E35" s="111"/>
      <c r="F35" s="112"/>
      <c r="G35" s="110" t="s">
        <v>400</v>
      </c>
      <c r="H35" s="111"/>
      <c r="I35" s="112"/>
      <c r="J35" s="19"/>
    </row>
    <row r="36" spans="1:9" ht="11.25" customHeight="1">
      <c r="A36" s="39" t="s">
        <v>85</v>
      </c>
      <c r="B36" s="41"/>
      <c r="C36" s="41"/>
      <c r="D36" s="41"/>
      <c r="E36" s="41"/>
      <c r="F36" s="41"/>
      <c r="G36" s="41"/>
      <c r="H36" s="41"/>
      <c r="I36" s="41"/>
    </row>
    <row r="37" spans="1:9" ht="12.75">
      <c r="A37" s="87"/>
      <c r="B37" s="79"/>
      <c r="C37" s="79"/>
      <c r="D37" s="79"/>
      <c r="E37" s="79"/>
      <c r="F37" s="79"/>
      <c r="G37" s="79"/>
      <c r="H37" s="79"/>
      <c r="I37" s="79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46" sqref="A46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113" t="s">
        <v>381</v>
      </c>
      <c r="B1" s="75"/>
      <c r="C1" s="75"/>
      <c r="D1" s="75"/>
      <c r="E1" s="75"/>
      <c r="F1" s="75"/>
      <c r="G1" s="75"/>
    </row>
    <row r="2" spans="1:8" ht="12.75">
      <c r="A2" s="76" t="s">
        <v>1</v>
      </c>
      <c r="B2" s="80" t="str">
        <f>'Stavební rozpočet'!C2</f>
        <v>TJ Sokol Brno - Obřany - Maloměřice - Oprava sprch a šaten ve sportovní hale</v>
      </c>
      <c r="C2" s="81"/>
      <c r="D2" s="83" t="s">
        <v>296</v>
      </c>
      <c r="E2" s="83" t="str">
        <f>'Stavební rozpočet'!I2</f>
        <v> </v>
      </c>
      <c r="F2" s="77"/>
      <c r="G2" s="114"/>
      <c r="H2" s="18"/>
    </row>
    <row r="3" spans="1:8" ht="12.75">
      <c r="A3" s="78"/>
      <c r="B3" s="82"/>
      <c r="C3" s="82"/>
      <c r="D3" s="79"/>
      <c r="E3" s="79"/>
      <c r="F3" s="79"/>
      <c r="G3" s="85"/>
      <c r="H3" s="18"/>
    </row>
    <row r="4" spans="1:8" ht="12.75">
      <c r="A4" s="86" t="s">
        <v>2</v>
      </c>
      <c r="B4" s="87" t="str">
        <f>'Stavební rozpočet'!C4</f>
        <v>Sportovní hala</v>
      </c>
      <c r="C4" s="79"/>
      <c r="D4" s="87" t="s">
        <v>297</v>
      </c>
      <c r="E4" s="87" t="str">
        <f>'Stavební rozpočet'!I4</f>
        <v> </v>
      </c>
      <c r="F4" s="79"/>
      <c r="G4" s="85"/>
      <c r="H4" s="18"/>
    </row>
    <row r="5" spans="1:8" ht="12.75">
      <c r="A5" s="78"/>
      <c r="B5" s="79"/>
      <c r="C5" s="79"/>
      <c r="D5" s="79"/>
      <c r="E5" s="79"/>
      <c r="F5" s="79"/>
      <c r="G5" s="85"/>
      <c r="H5" s="18"/>
    </row>
    <row r="6" spans="1:8" ht="12.75">
      <c r="A6" s="86" t="s">
        <v>3</v>
      </c>
      <c r="B6" s="87" t="str">
        <f>'Stavební rozpočet'!C6</f>
        <v> </v>
      </c>
      <c r="C6" s="79"/>
      <c r="D6" s="87" t="s">
        <v>298</v>
      </c>
      <c r="E6" s="87" t="str">
        <f>'Stavební rozpočet'!I6</f>
        <v> </v>
      </c>
      <c r="F6" s="79"/>
      <c r="G6" s="85"/>
      <c r="H6" s="18"/>
    </row>
    <row r="7" spans="1:8" ht="12.75">
      <c r="A7" s="78"/>
      <c r="B7" s="79"/>
      <c r="C7" s="79"/>
      <c r="D7" s="79"/>
      <c r="E7" s="79"/>
      <c r="F7" s="79"/>
      <c r="G7" s="85"/>
      <c r="H7" s="18"/>
    </row>
    <row r="8" spans="1:8" ht="12.75">
      <c r="A8" s="86" t="s">
        <v>299</v>
      </c>
      <c r="B8" s="87" t="str">
        <f>'Stavební rozpočet'!I8</f>
        <v>Bc. Petr Hriš</v>
      </c>
      <c r="C8" s="79"/>
      <c r="D8" s="89" t="s">
        <v>282</v>
      </c>
      <c r="E8" s="87" t="str">
        <f>'Stavební rozpočet'!F8</f>
        <v>28.02.2024</v>
      </c>
      <c r="F8" s="79"/>
      <c r="G8" s="85"/>
      <c r="H8" s="18"/>
    </row>
    <row r="9" spans="1:8" ht="12.75">
      <c r="A9" s="115"/>
      <c r="B9" s="116"/>
      <c r="C9" s="116"/>
      <c r="D9" s="116"/>
      <c r="E9" s="116"/>
      <c r="F9" s="116"/>
      <c r="G9" s="117"/>
      <c r="H9" s="18"/>
    </row>
    <row r="10" spans="1:8" ht="12.75">
      <c r="A10" s="28" t="s">
        <v>382</v>
      </c>
      <c r="B10" s="30" t="s">
        <v>86</v>
      </c>
      <c r="C10" s="118" t="s">
        <v>172</v>
      </c>
      <c r="D10" s="119"/>
      <c r="E10" s="31" t="s">
        <v>383</v>
      </c>
      <c r="F10" s="31" t="s">
        <v>384</v>
      </c>
      <c r="G10" s="31" t="s">
        <v>385</v>
      </c>
      <c r="H10" s="18"/>
    </row>
    <row r="11" spans="1:9" ht="12.75">
      <c r="A11" s="68" t="s">
        <v>318</v>
      </c>
      <c r="B11" s="69"/>
      <c r="C11" s="120" t="s">
        <v>174</v>
      </c>
      <c r="D11" s="121"/>
      <c r="E11" s="70">
        <f>'Stavební rozpočet'!I12</f>
        <v>0</v>
      </c>
      <c r="F11" s="70">
        <f>'Stavební rozpočet'!J12</f>
        <v>0</v>
      </c>
      <c r="G11" s="70">
        <f>'Stavební rozpočet'!K12</f>
        <v>0</v>
      </c>
      <c r="H11" s="21" t="s">
        <v>386</v>
      </c>
      <c r="I11" s="21">
        <f aca="true" t="shared" si="0" ref="I11:I42">IF(H11="F",0,G11)</f>
        <v>0</v>
      </c>
    </row>
    <row r="12" spans="1:9" ht="12.75">
      <c r="A12" s="29" t="s">
        <v>318</v>
      </c>
      <c r="B12" s="11" t="s">
        <v>87</v>
      </c>
      <c r="C12" s="89" t="s">
        <v>175</v>
      </c>
      <c r="D12" s="79"/>
      <c r="E12" s="21">
        <f>'Stavební rozpočet'!I13</f>
        <v>0</v>
      </c>
      <c r="F12" s="21">
        <f>'Stavební rozpočet'!J13</f>
        <v>0</v>
      </c>
      <c r="G12" s="21">
        <f>'Stavební rozpočet'!K13</f>
        <v>0</v>
      </c>
      <c r="H12" s="21" t="s">
        <v>387</v>
      </c>
      <c r="I12" s="21">
        <f t="shared" si="0"/>
        <v>0</v>
      </c>
    </row>
    <row r="13" spans="1:9" ht="12.75">
      <c r="A13" s="71" t="s">
        <v>319</v>
      </c>
      <c r="B13" s="72"/>
      <c r="C13" s="122" t="s">
        <v>191</v>
      </c>
      <c r="D13" s="123"/>
      <c r="E13" s="73">
        <f>'Stavební rozpočet'!I29</f>
        <v>0</v>
      </c>
      <c r="F13" s="73">
        <f>'Stavební rozpočet'!J29</f>
        <v>0</v>
      </c>
      <c r="G13" s="73">
        <f>'Stavební rozpočet'!K29</f>
        <v>0</v>
      </c>
      <c r="H13" s="21" t="s">
        <v>386</v>
      </c>
      <c r="I13" s="21">
        <f t="shared" si="0"/>
        <v>0</v>
      </c>
    </row>
    <row r="14" spans="1:9" ht="12.75">
      <c r="A14" s="29" t="s">
        <v>319</v>
      </c>
      <c r="B14" s="11" t="s">
        <v>103</v>
      </c>
      <c r="C14" s="89" t="s">
        <v>191</v>
      </c>
      <c r="D14" s="79"/>
      <c r="E14" s="21">
        <f>'Stavební rozpočet'!I30</f>
        <v>0</v>
      </c>
      <c r="F14" s="21">
        <f>'Stavební rozpočet'!J30</f>
        <v>0</v>
      </c>
      <c r="G14" s="21">
        <f>'Stavební rozpočet'!K30</f>
        <v>0</v>
      </c>
      <c r="H14" s="21" t="s">
        <v>387</v>
      </c>
      <c r="I14" s="21">
        <f t="shared" si="0"/>
        <v>0</v>
      </c>
    </row>
    <row r="15" spans="1:9" ht="12.75">
      <c r="A15" s="29" t="s">
        <v>320</v>
      </c>
      <c r="B15" s="11"/>
      <c r="C15" s="89" t="s">
        <v>194</v>
      </c>
      <c r="D15" s="79"/>
      <c r="E15" s="21">
        <f>'Stavební rozpočet'!I33</f>
        <v>0</v>
      </c>
      <c r="F15" s="21">
        <f>'Stavební rozpočet'!J33</f>
        <v>0</v>
      </c>
      <c r="G15" s="21">
        <f>'Stavební rozpočet'!K33</f>
        <v>0</v>
      </c>
      <c r="H15" s="21" t="s">
        <v>386</v>
      </c>
      <c r="I15" s="21">
        <f t="shared" si="0"/>
        <v>0</v>
      </c>
    </row>
    <row r="16" spans="1:9" ht="12.75">
      <c r="A16" s="71" t="s">
        <v>320</v>
      </c>
      <c r="B16" s="72" t="s">
        <v>106</v>
      </c>
      <c r="C16" s="122" t="s">
        <v>195</v>
      </c>
      <c r="D16" s="123"/>
      <c r="E16" s="73">
        <f>'Stavební rozpočet'!I34</f>
        <v>0</v>
      </c>
      <c r="F16" s="73">
        <f>'Stavební rozpočet'!J34</f>
        <v>0</v>
      </c>
      <c r="G16" s="73">
        <f>'Stavební rozpočet'!K34</f>
        <v>0</v>
      </c>
      <c r="H16" s="21" t="s">
        <v>387</v>
      </c>
      <c r="I16" s="21">
        <f t="shared" si="0"/>
        <v>0</v>
      </c>
    </row>
    <row r="17" spans="1:9" ht="12.75">
      <c r="A17" s="29" t="s">
        <v>320</v>
      </c>
      <c r="B17" s="11" t="s">
        <v>108</v>
      </c>
      <c r="C17" s="89" t="s">
        <v>197</v>
      </c>
      <c r="D17" s="79"/>
      <c r="E17" s="21">
        <f>'Stavební rozpočet'!I36</f>
        <v>0</v>
      </c>
      <c r="F17" s="21">
        <f>'Stavební rozpočet'!J36</f>
        <v>0</v>
      </c>
      <c r="G17" s="21">
        <f>'Stavební rozpočet'!K36</f>
        <v>0</v>
      </c>
      <c r="H17" s="21" t="s">
        <v>387</v>
      </c>
      <c r="I17" s="21">
        <f t="shared" si="0"/>
        <v>0</v>
      </c>
    </row>
    <row r="18" spans="1:9" ht="12.75">
      <c r="A18" s="29" t="s">
        <v>320</v>
      </c>
      <c r="B18" s="11" t="s">
        <v>111</v>
      </c>
      <c r="C18" s="89" t="s">
        <v>200</v>
      </c>
      <c r="D18" s="79"/>
      <c r="E18" s="21">
        <f>'Stavební rozpočet'!I39</f>
        <v>0</v>
      </c>
      <c r="F18" s="21">
        <f>'Stavební rozpočet'!J39</f>
        <v>0</v>
      </c>
      <c r="G18" s="21">
        <f>'Stavební rozpočet'!K39</f>
        <v>0</v>
      </c>
      <c r="H18" s="21" t="s">
        <v>387</v>
      </c>
      <c r="I18" s="21">
        <f t="shared" si="0"/>
        <v>0</v>
      </c>
    </row>
    <row r="19" spans="1:9" ht="12.75">
      <c r="A19" s="71" t="s">
        <v>321</v>
      </c>
      <c r="B19" s="72"/>
      <c r="C19" s="122" t="s">
        <v>211</v>
      </c>
      <c r="D19" s="123"/>
      <c r="E19" s="73">
        <f>'Stavební rozpočet'!I50</f>
        <v>0</v>
      </c>
      <c r="F19" s="73">
        <f>'Stavební rozpočet'!J50</f>
        <v>0</v>
      </c>
      <c r="G19" s="73">
        <f>'Stavební rozpočet'!K50</f>
        <v>0</v>
      </c>
      <c r="H19" s="21" t="s">
        <v>386</v>
      </c>
      <c r="I19" s="21">
        <f t="shared" si="0"/>
        <v>0</v>
      </c>
    </row>
    <row r="20" spans="1:9" ht="12.75">
      <c r="A20" s="29" t="s">
        <v>321</v>
      </c>
      <c r="B20" s="11" t="s">
        <v>106</v>
      </c>
      <c r="C20" s="89" t="s">
        <v>195</v>
      </c>
      <c r="D20" s="79"/>
      <c r="E20" s="21">
        <f>'Stavební rozpočet'!I51</f>
        <v>0</v>
      </c>
      <c r="F20" s="21">
        <f>'Stavební rozpočet'!J51</f>
        <v>0</v>
      </c>
      <c r="G20" s="21">
        <f>'Stavební rozpočet'!K51</f>
        <v>0</v>
      </c>
      <c r="H20" s="21" t="s">
        <v>387</v>
      </c>
      <c r="I20" s="21">
        <f t="shared" si="0"/>
        <v>0</v>
      </c>
    </row>
    <row r="21" spans="1:9" ht="12.75">
      <c r="A21" s="29" t="s">
        <v>321</v>
      </c>
      <c r="B21" s="11" t="s">
        <v>87</v>
      </c>
      <c r="C21" s="89" t="s">
        <v>175</v>
      </c>
      <c r="D21" s="79"/>
      <c r="E21" s="21">
        <f>'Stavební rozpočet'!I53</f>
        <v>0</v>
      </c>
      <c r="F21" s="21">
        <f>'Stavební rozpočet'!J53</f>
        <v>0</v>
      </c>
      <c r="G21" s="21">
        <f>'Stavební rozpočet'!K53</f>
        <v>0</v>
      </c>
      <c r="H21" s="21" t="s">
        <v>387</v>
      </c>
      <c r="I21" s="21">
        <f t="shared" si="0"/>
        <v>0</v>
      </c>
    </row>
    <row r="22" spans="1:9" ht="12.75">
      <c r="A22" s="71" t="s">
        <v>322</v>
      </c>
      <c r="B22" s="72"/>
      <c r="C22" s="122" t="s">
        <v>217</v>
      </c>
      <c r="D22" s="123"/>
      <c r="E22" s="73">
        <f>'Stavební rozpočet'!I58</f>
        <v>0</v>
      </c>
      <c r="F22" s="73">
        <f>'Stavební rozpočet'!J58</f>
        <v>0</v>
      </c>
      <c r="G22" s="73">
        <f>'Stavební rozpočet'!K58</f>
        <v>0</v>
      </c>
      <c r="H22" s="21" t="s">
        <v>386</v>
      </c>
      <c r="I22" s="21">
        <f t="shared" si="0"/>
        <v>0</v>
      </c>
    </row>
    <row r="23" spans="1:9" ht="12.75">
      <c r="A23" s="29" t="s">
        <v>322</v>
      </c>
      <c r="B23" s="11" t="s">
        <v>40</v>
      </c>
      <c r="C23" s="89" t="s">
        <v>218</v>
      </c>
      <c r="D23" s="79"/>
      <c r="E23" s="21">
        <f>'Stavební rozpočet'!I59</f>
        <v>0</v>
      </c>
      <c r="F23" s="21">
        <f>'Stavební rozpočet'!J59</f>
        <v>0</v>
      </c>
      <c r="G23" s="21">
        <f>'Stavební rozpočet'!K59</f>
        <v>0</v>
      </c>
      <c r="H23" s="21" t="s">
        <v>387</v>
      </c>
      <c r="I23" s="21">
        <f t="shared" si="0"/>
        <v>0</v>
      </c>
    </row>
    <row r="24" spans="1:9" ht="12.75">
      <c r="A24" s="29" t="s">
        <v>322</v>
      </c>
      <c r="B24" s="11" t="s">
        <v>66</v>
      </c>
      <c r="C24" s="89" t="s">
        <v>220</v>
      </c>
      <c r="D24" s="79"/>
      <c r="E24" s="21">
        <f>'Stavební rozpočet'!I61</f>
        <v>0</v>
      </c>
      <c r="F24" s="21">
        <f>'Stavební rozpočet'!J61</f>
        <v>0</v>
      </c>
      <c r="G24" s="21">
        <f>'Stavební rozpočet'!K61</f>
        <v>0</v>
      </c>
      <c r="H24" s="21" t="s">
        <v>387</v>
      </c>
      <c r="I24" s="21">
        <f t="shared" si="0"/>
        <v>0</v>
      </c>
    </row>
    <row r="25" spans="1:9" ht="12.75">
      <c r="A25" s="29" t="s">
        <v>322</v>
      </c>
      <c r="B25" s="11" t="s">
        <v>67</v>
      </c>
      <c r="C25" s="89" t="s">
        <v>222</v>
      </c>
      <c r="D25" s="79"/>
      <c r="E25" s="21">
        <f>'Stavební rozpočet'!I63</f>
        <v>0</v>
      </c>
      <c r="F25" s="21">
        <f>'Stavební rozpočet'!J63</f>
        <v>0</v>
      </c>
      <c r="G25" s="21">
        <f>'Stavební rozpočet'!K63</f>
        <v>0</v>
      </c>
      <c r="H25" s="21" t="s">
        <v>387</v>
      </c>
      <c r="I25" s="21">
        <f t="shared" si="0"/>
        <v>0</v>
      </c>
    </row>
    <row r="26" spans="1:9" ht="12.75">
      <c r="A26" s="29" t="s">
        <v>322</v>
      </c>
      <c r="B26" s="11" t="s">
        <v>130</v>
      </c>
      <c r="C26" s="89" t="s">
        <v>224</v>
      </c>
      <c r="D26" s="79"/>
      <c r="E26" s="21">
        <f>'Stavební rozpočet'!I65</f>
        <v>0</v>
      </c>
      <c r="F26" s="21">
        <f>'Stavební rozpočet'!J65</f>
        <v>0</v>
      </c>
      <c r="G26" s="21">
        <f>'Stavební rozpočet'!K65</f>
        <v>0</v>
      </c>
      <c r="H26" s="21" t="s">
        <v>387</v>
      </c>
      <c r="I26" s="21">
        <f t="shared" si="0"/>
        <v>0</v>
      </c>
    </row>
    <row r="27" spans="1:9" ht="12.75">
      <c r="A27" s="71" t="s">
        <v>323</v>
      </c>
      <c r="B27" s="72"/>
      <c r="C27" s="122" t="s">
        <v>227</v>
      </c>
      <c r="D27" s="123"/>
      <c r="E27" s="73">
        <f>'Stavební rozpočet'!I68</f>
        <v>0</v>
      </c>
      <c r="F27" s="73">
        <f>'Stavební rozpočet'!J68</f>
        <v>0</v>
      </c>
      <c r="G27" s="73">
        <f>'Stavební rozpočet'!K68</f>
        <v>0</v>
      </c>
      <c r="H27" s="21" t="s">
        <v>386</v>
      </c>
      <c r="I27" s="21">
        <f t="shared" si="0"/>
        <v>0</v>
      </c>
    </row>
    <row r="28" spans="1:9" ht="12.75">
      <c r="A28" s="29" t="s">
        <v>323</v>
      </c>
      <c r="B28" s="11" t="s">
        <v>69</v>
      </c>
      <c r="C28" s="89" t="s">
        <v>228</v>
      </c>
      <c r="D28" s="79"/>
      <c r="E28" s="21">
        <f>'Stavební rozpočet'!I69</f>
        <v>0</v>
      </c>
      <c r="F28" s="21">
        <f>'Stavební rozpočet'!J69</f>
        <v>0</v>
      </c>
      <c r="G28" s="21">
        <f>'Stavební rozpočet'!K69</f>
        <v>0</v>
      </c>
      <c r="H28" s="21" t="s">
        <v>387</v>
      </c>
      <c r="I28" s="21">
        <f t="shared" si="0"/>
        <v>0</v>
      </c>
    </row>
    <row r="29" spans="1:9" ht="12.75">
      <c r="A29" s="71" t="s">
        <v>324</v>
      </c>
      <c r="B29" s="72"/>
      <c r="C29" s="122" t="s">
        <v>235</v>
      </c>
      <c r="D29" s="123"/>
      <c r="E29" s="73">
        <f>'Stavební rozpočet'!I76</f>
        <v>0</v>
      </c>
      <c r="F29" s="73">
        <f>'Stavební rozpočet'!J76</f>
        <v>0</v>
      </c>
      <c r="G29" s="73">
        <f>'Stavební rozpočet'!K76</f>
        <v>0</v>
      </c>
      <c r="H29" s="21" t="s">
        <v>386</v>
      </c>
      <c r="I29" s="21">
        <f t="shared" si="0"/>
        <v>0</v>
      </c>
    </row>
    <row r="30" spans="1:9" ht="12.75">
      <c r="A30" s="29" t="s">
        <v>324</v>
      </c>
      <c r="B30" s="11" t="s">
        <v>139</v>
      </c>
      <c r="C30" s="89" t="s">
        <v>236</v>
      </c>
      <c r="D30" s="79"/>
      <c r="E30" s="21">
        <f>'Stavební rozpočet'!I77</f>
        <v>0</v>
      </c>
      <c r="F30" s="21">
        <f>'Stavební rozpočet'!J77</f>
        <v>0</v>
      </c>
      <c r="G30" s="21">
        <f>'Stavební rozpočet'!K77</f>
        <v>0</v>
      </c>
      <c r="H30" s="21" t="s">
        <v>387</v>
      </c>
      <c r="I30" s="21">
        <f t="shared" si="0"/>
        <v>0</v>
      </c>
    </row>
    <row r="31" spans="1:9" ht="12.75">
      <c r="A31" s="71" t="s">
        <v>325</v>
      </c>
      <c r="B31" s="72"/>
      <c r="C31" s="122" t="s">
        <v>242</v>
      </c>
      <c r="D31" s="123"/>
      <c r="E31" s="73">
        <f>'Stavební rozpočet'!I83</f>
        <v>0</v>
      </c>
      <c r="F31" s="73">
        <f>'Stavební rozpočet'!J83</f>
        <v>0</v>
      </c>
      <c r="G31" s="73">
        <f>'Stavební rozpočet'!K83</f>
        <v>0</v>
      </c>
      <c r="H31" s="21" t="s">
        <v>386</v>
      </c>
      <c r="I31" s="21">
        <f t="shared" si="0"/>
        <v>0</v>
      </c>
    </row>
    <row r="32" spans="1:9" ht="12.75">
      <c r="A32" s="29" t="s">
        <v>325</v>
      </c>
      <c r="B32" s="11" t="s">
        <v>143</v>
      </c>
      <c r="C32" s="89" t="s">
        <v>243</v>
      </c>
      <c r="D32" s="79"/>
      <c r="E32" s="21">
        <f>'Stavební rozpočet'!I84</f>
        <v>0</v>
      </c>
      <c r="F32" s="21">
        <f>'Stavební rozpočet'!J84</f>
        <v>0</v>
      </c>
      <c r="G32" s="21">
        <f>'Stavební rozpočet'!K84</f>
        <v>0</v>
      </c>
      <c r="H32" s="21" t="s">
        <v>387</v>
      </c>
      <c r="I32" s="21">
        <f t="shared" si="0"/>
        <v>0</v>
      </c>
    </row>
    <row r="33" spans="1:9" ht="12.75">
      <c r="A33" s="29" t="s">
        <v>325</v>
      </c>
      <c r="B33" s="11" t="s">
        <v>148</v>
      </c>
      <c r="C33" s="89" t="s">
        <v>250</v>
      </c>
      <c r="D33" s="79"/>
      <c r="E33" s="21">
        <f>'Stavební rozpočet'!I91</f>
        <v>0</v>
      </c>
      <c r="F33" s="21">
        <f>'Stavební rozpočet'!J91</f>
        <v>0</v>
      </c>
      <c r="G33" s="21">
        <f>'Stavební rozpočet'!K91</f>
        <v>0</v>
      </c>
      <c r="H33" s="21" t="s">
        <v>387</v>
      </c>
      <c r="I33" s="21">
        <f t="shared" si="0"/>
        <v>0</v>
      </c>
    </row>
    <row r="34" spans="1:9" ht="12.75">
      <c r="A34" s="71" t="s">
        <v>326</v>
      </c>
      <c r="B34" s="72"/>
      <c r="C34" s="122" t="s">
        <v>260</v>
      </c>
      <c r="D34" s="123"/>
      <c r="E34" s="73">
        <f>'Stavební rozpočet'!I101</f>
        <v>0</v>
      </c>
      <c r="F34" s="73">
        <f>'Stavební rozpočet'!J101</f>
        <v>0</v>
      </c>
      <c r="G34" s="73">
        <f>'Stavební rozpočet'!K101</f>
        <v>0</v>
      </c>
      <c r="H34" s="21" t="s">
        <v>386</v>
      </c>
      <c r="I34" s="21">
        <f t="shared" si="0"/>
        <v>0</v>
      </c>
    </row>
    <row r="35" spans="1:9" ht="12.75">
      <c r="A35" s="29" t="s">
        <v>326</v>
      </c>
      <c r="B35" s="11" t="s">
        <v>40</v>
      </c>
      <c r="C35" s="89" t="s">
        <v>218</v>
      </c>
      <c r="D35" s="79"/>
      <c r="E35" s="21">
        <f>'Stavební rozpočet'!I102</f>
        <v>0</v>
      </c>
      <c r="F35" s="21">
        <f>'Stavební rozpočet'!J102</f>
        <v>0</v>
      </c>
      <c r="G35" s="21">
        <f>'Stavební rozpočet'!K102</f>
        <v>0</v>
      </c>
      <c r="H35" s="21" t="s">
        <v>387</v>
      </c>
      <c r="I35" s="21">
        <f t="shared" si="0"/>
        <v>0</v>
      </c>
    </row>
    <row r="36" spans="1:9" ht="12.75">
      <c r="A36" s="71" t="s">
        <v>327</v>
      </c>
      <c r="B36" s="72"/>
      <c r="C36" s="122" t="s">
        <v>263</v>
      </c>
      <c r="D36" s="123"/>
      <c r="E36" s="73">
        <f>'Stavební rozpočet'!I105</f>
        <v>0</v>
      </c>
      <c r="F36" s="73">
        <f>'Stavební rozpočet'!J105</f>
        <v>0</v>
      </c>
      <c r="G36" s="73">
        <f>'Stavební rozpočet'!K105</f>
        <v>0</v>
      </c>
      <c r="H36" s="21" t="s">
        <v>386</v>
      </c>
      <c r="I36" s="21">
        <f t="shared" si="0"/>
        <v>0</v>
      </c>
    </row>
    <row r="37" spans="1:9" ht="12.75">
      <c r="A37" s="29" t="s">
        <v>327</v>
      </c>
      <c r="B37" s="11" t="s">
        <v>158</v>
      </c>
      <c r="C37" s="89" t="s">
        <v>264</v>
      </c>
      <c r="D37" s="79"/>
      <c r="E37" s="21">
        <f>'Stavební rozpočet'!I106</f>
        <v>0</v>
      </c>
      <c r="F37" s="21">
        <f>'Stavební rozpočet'!J106</f>
        <v>0</v>
      </c>
      <c r="G37" s="21">
        <f>'Stavební rozpočet'!K106</f>
        <v>0</v>
      </c>
      <c r="H37" s="21" t="s">
        <v>387</v>
      </c>
      <c r="I37" s="21">
        <f t="shared" si="0"/>
        <v>0</v>
      </c>
    </row>
    <row r="38" spans="1:9" ht="12.75">
      <c r="A38" s="71" t="s">
        <v>328</v>
      </c>
      <c r="B38" s="72"/>
      <c r="C38" s="122" t="s">
        <v>269</v>
      </c>
      <c r="D38" s="123"/>
      <c r="E38" s="73">
        <f>'Stavební rozpočet'!I111</f>
        <v>0</v>
      </c>
      <c r="F38" s="73">
        <f>'Stavební rozpočet'!J111</f>
        <v>0</v>
      </c>
      <c r="G38" s="73">
        <f>'Stavební rozpočet'!K111</f>
        <v>0</v>
      </c>
      <c r="H38" s="21" t="s">
        <v>386</v>
      </c>
      <c r="I38" s="21">
        <f t="shared" si="0"/>
        <v>0</v>
      </c>
    </row>
    <row r="39" spans="1:9" ht="12.75">
      <c r="A39" s="29" t="s">
        <v>328</v>
      </c>
      <c r="B39" s="11" t="s">
        <v>130</v>
      </c>
      <c r="C39" s="89" t="s">
        <v>224</v>
      </c>
      <c r="D39" s="79"/>
      <c r="E39" s="21">
        <f>'Stavební rozpočet'!I112</f>
        <v>0</v>
      </c>
      <c r="F39" s="21">
        <f>'Stavební rozpočet'!J112</f>
        <v>0</v>
      </c>
      <c r="G39" s="21">
        <f>'Stavební rozpočet'!K112</f>
        <v>0</v>
      </c>
      <c r="H39" s="21" t="s">
        <v>387</v>
      </c>
      <c r="I39" s="21">
        <f t="shared" si="0"/>
        <v>0</v>
      </c>
    </row>
    <row r="40" spans="1:9" ht="12.75">
      <c r="A40" s="71" t="s">
        <v>329</v>
      </c>
      <c r="B40" s="72"/>
      <c r="C40" s="122" t="s">
        <v>272</v>
      </c>
      <c r="D40" s="123"/>
      <c r="E40" s="73">
        <f>'Stavební rozpočet'!I115</f>
        <v>0</v>
      </c>
      <c r="F40" s="73">
        <f>'Stavební rozpočet'!J115</f>
        <v>0</v>
      </c>
      <c r="G40" s="73">
        <f>'Stavební rozpočet'!K115</f>
        <v>0</v>
      </c>
      <c r="H40" s="21" t="s">
        <v>386</v>
      </c>
      <c r="I40" s="21">
        <f t="shared" si="0"/>
        <v>0</v>
      </c>
    </row>
    <row r="41" spans="1:9" ht="12.75">
      <c r="A41" s="29" t="s">
        <v>329</v>
      </c>
      <c r="B41" s="11" t="s">
        <v>164</v>
      </c>
      <c r="C41" s="89" t="s">
        <v>273</v>
      </c>
      <c r="D41" s="79"/>
      <c r="E41" s="21">
        <f>'Stavební rozpočet'!I116</f>
        <v>0</v>
      </c>
      <c r="F41" s="21">
        <f>'Stavební rozpočet'!J116</f>
        <v>0</v>
      </c>
      <c r="G41" s="21">
        <f>'Stavební rozpočet'!K116</f>
        <v>0</v>
      </c>
      <c r="H41" s="21" t="s">
        <v>387</v>
      </c>
      <c r="I41" s="21">
        <f t="shared" si="0"/>
        <v>0</v>
      </c>
    </row>
    <row r="42" spans="1:9" ht="12.75">
      <c r="A42" s="29" t="s">
        <v>329</v>
      </c>
      <c r="B42" s="11" t="s">
        <v>166</v>
      </c>
      <c r="C42" s="89" t="s">
        <v>275</v>
      </c>
      <c r="D42" s="79"/>
      <c r="E42" s="21">
        <f>'Stavební rozpočet'!I118</f>
        <v>0</v>
      </c>
      <c r="F42" s="21">
        <f>'Stavební rozpočet'!J118</f>
        <v>0</v>
      </c>
      <c r="G42" s="21">
        <f>'Stavební rozpočet'!K118</f>
        <v>0</v>
      </c>
      <c r="H42" s="21" t="s">
        <v>387</v>
      </c>
      <c r="I42" s="21">
        <f t="shared" si="0"/>
        <v>0</v>
      </c>
    </row>
    <row r="43" spans="6:7" ht="12.75">
      <c r="F43" s="32" t="s">
        <v>306</v>
      </c>
      <c r="G43" s="33">
        <f>SUM(I11:I42)</f>
        <v>0</v>
      </c>
    </row>
  </sheetData>
  <sheetProtection/>
  <mergeCells count="50">
    <mergeCell ref="C40:D40"/>
    <mergeCell ref="C41:D41"/>
    <mergeCell ref="C42:D42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24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K1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84.28125" style="0" customWidth="1"/>
    <col min="4" max="5" width="11.5742187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23" width="11.57421875" style="0" customWidth="1"/>
    <col min="24" max="63" width="12.140625" style="0" hidden="1" customWidth="1"/>
  </cols>
  <sheetData>
    <row r="1" spans="1:11" ht="72.75" customHeight="1">
      <c r="A1" s="113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2" ht="12.75">
      <c r="A2" s="76" t="s">
        <v>1</v>
      </c>
      <c r="B2" s="77"/>
      <c r="C2" s="80" t="s">
        <v>170</v>
      </c>
      <c r="D2" s="124" t="s">
        <v>279</v>
      </c>
      <c r="E2" s="77"/>
      <c r="F2" s="124" t="s">
        <v>283</v>
      </c>
      <c r="G2" s="77"/>
      <c r="H2" s="83" t="s">
        <v>296</v>
      </c>
      <c r="I2" s="124" t="s">
        <v>302</v>
      </c>
      <c r="J2" s="77"/>
      <c r="K2" s="77"/>
      <c r="L2" s="18"/>
    </row>
    <row r="3" spans="1:12" ht="12.75">
      <c r="A3" s="78"/>
      <c r="B3" s="79"/>
      <c r="C3" s="82"/>
      <c r="D3" s="79"/>
      <c r="E3" s="79"/>
      <c r="F3" s="79"/>
      <c r="G3" s="79"/>
      <c r="H3" s="79"/>
      <c r="I3" s="79"/>
      <c r="J3" s="79"/>
      <c r="K3" s="79"/>
      <c r="L3" s="18"/>
    </row>
    <row r="4" spans="1:12" ht="12.75">
      <c r="A4" s="86" t="s">
        <v>2</v>
      </c>
      <c r="B4" s="79"/>
      <c r="C4" s="87" t="s">
        <v>171</v>
      </c>
      <c r="D4" s="89" t="s">
        <v>280</v>
      </c>
      <c r="E4" s="79"/>
      <c r="F4" s="89" t="s">
        <v>284</v>
      </c>
      <c r="G4" s="79"/>
      <c r="H4" s="87" t="s">
        <v>297</v>
      </c>
      <c r="I4" s="89" t="s">
        <v>302</v>
      </c>
      <c r="J4" s="79"/>
      <c r="K4" s="79"/>
      <c r="L4" s="18"/>
    </row>
    <row r="5" spans="1:12" ht="12.7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18"/>
    </row>
    <row r="6" spans="1:12" ht="12.75">
      <c r="A6" s="86" t="s">
        <v>3</v>
      </c>
      <c r="B6" s="79"/>
      <c r="C6" s="87" t="s">
        <v>6</v>
      </c>
      <c r="D6" s="89" t="s">
        <v>281</v>
      </c>
      <c r="E6" s="79"/>
      <c r="F6" s="89" t="s">
        <v>285</v>
      </c>
      <c r="G6" s="79"/>
      <c r="H6" s="87" t="s">
        <v>298</v>
      </c>
      <c r="I6" s="89" t="s">
        <v>302</v>
      </c>
      <c r="J6" s="79"/>
      <c r="K6" s="79"/>
      <c r="L6" s="18"/>
    </row>
    <row r="7" spans="1:12" ht="12.75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18"/>
    </row>
    <row r="8" spans="1:12" ht="12.75">
      <c r="A8" s="86" t="s">
        <v>4</v>
      </c>
      <c r="B8" s="79"/>
      <c r="C8" s="87" t="s">
        <v>6</v>
      </c>
      <c r="D8" s="89" t="s">
        <v>282</v>
      </c>
      <c r="E8" s="79"/>
      <c r="F8" s="89" t="s">
        <v>286</v>
      </c>
      <c r="G8" s="79"/>
      <c r="H8" s="87" t="s">
        <v>299</v>
      </c>
      <c r="I8" s="87" t="s">
        <v>303</v>
      </c>
      <c r="J8" s="79"/>
      <c r="K8" s="79"/>
      <c r="L8" s="18"/>
    </row>
    <row r="9" spans="1:12" ht="12.75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8"/>
    </row>
    <row r="10" spans="1:63" ht="12.75">
      <c r="A10" s="1" t="s">
        <v>5</v>
      </c>
      <c r="B10" s="7" t="s">
        <v>86</v>
      </c>
      <c r="C10" s="125" t="s">
        <v>172</v>
      </c>
      <c r="D10" s="126"/>
      <c r="E10" s="127"/>
      <c r="F10" s="7" t="s">
        <v>287</v>
      </c>
      <c r="G10" s="13" t="s">
        <v>295</v>
      </c>
      <c r="H10" s="17" t="s">
        <v>300</v>
      </c>
      <c r="I10" s="128" t="s">
        <v>304</v>
      </c>
      <c r="J10" s="129"/>
      <c r="K10" s="130"/>
      <c r="L10" s="19"/>
      <c r="BJ10" s="20" t="s">
        <v>378</v>
      </c>
      <c r="BK10" s="25" t="s">
        <v>380</v>
      </c>
    </row>
    <row r="11" spans="1:61" ht="12.75">
      <c r="A11" s="52" t="s">
        <v>6</v>
      </c>
      <c r="B11" s="53" t="s">
        <v>6</v>
      </c>
      <c r="C11" s="131" t="s">
        <v>173</v>
      </c>
      <c r="D11" s="132"/>
      <c r="E11" s="133"/>
      <c r="F11" s="53" t="s">
        <v>6</v>
      </c>
      <c r="G11" s="53" t="s">
        <v>6</v>
      </c>
      <c r="H11" s="56" t="s">
        <v>301</v>
      </c>
      <c r="I11" s="57" t="s">
        <v>305</v>
      </c>
      <c r="J11" s="58" t="s">
        <v>307</v>
      </c>
      <c r="K11" s="60" t="s">
        <v>308</v>
      </c>
      <c r="L11" s="19"/>
      <c r="Y11" s="20" t="s">
        <v>309</v>
      </c>
      <c r="Z11" s="20" t="s">
        <v>310</v>
      </c>
      <c r="AA11" s="20" t="s">
        <v>311</v>
      </c>
      <c r="AB11" s="20" t="s">
        <v>312</v>
      </c>
      <c r="AC11" s="20" t="s">
        <v>313</v>
      </c>
      <c r="AD11" s="20" t="s">
        <v>314</v>
      </c>
      <c r="AE11" s="20" t="s">
        <v>315</v>
      </c>
      <c r="AF11" s="20" t="s">
        <v>316</v>
      </c>
      <c r="AG11" s="20" t="s">
        <v>317</v>
      </c>
      <c r="BG11" s="20" t="s">
        <v>375</v>
      </c>
      <c r="BH11" s="20" t="s">
        <v>376</v>
      </c>
      <c r="BI11" s="20" t="s">
        <v>377</v>
      </c>
    </row>
    <row r="12" spans="1:12" ht="12.75">
      <c r="A12" s="54"/>
      <c r="B12" s="55"/>
      <c r="C12" s="134" t="s">
        <v>174</v>
      </c>
      <c r="D12" s="135"/>
      <c r="E12" s="136"/>
      <c r="F12" s="54" t="s">
        <v>6</v>
      </c>
      <c r="G12" s="54" t="s">
        <v>6</v>
      </c>
      <c r="H12" s="54" t="s">
        <v>6</v>
      </c>
      <c r="I12" s="59">
        <f>I13</f>
        <v>0</v>
      </c>
      <c r="J12" s="59">
        <f>J13</f>
        <v>0</v>
      </c>
      <c r="K12" s="59">
        <f>K13</f>
        <v>0</v>
      </c>
      <c r="L12" s="61"/>
    </row>
    <row r="13" spans="1:46" ht="12.75">
      <c r="A13" s="2"/>
      <c r="B13" s="8" t="s">
        <v>87</v>
      </c>
      <c r="C13" s="137" t="s">
        <v>175</v>
      </c>
      <c r="D13" s="138"/>
      <c r="E13" s="138"/>
      <c r="F13" s="12" t="s">
        <v>6</v>
      </c>
      <c r="G13" s="12" t="s">
        <v>6</v>
      </c>
      <c r="H13" s="12" t="s">
        <v>6</v>
      </c>
      <c r="I13" s="26">
        <f>SUM(I14:I28)</f>
        <v>0</v>
      </c>
      <c r="J13" s="26">
        <f>SUM(J14:J28)</f>
        <v>0</v>
      </c>
      <c r="K13" s="26">
        <f>SUM(K14:K28)</f>
        <v>0</v>
      </c>
      <c r="L13" s="18"/>
      <c r="AH13" s="20" t="s">
        <v>318</v>
      </c>
      <c r="AR13" s="26">
        <f>SUM(AI14:AI28)</f>
        <v>0</v>
      </c>
      <c r="AS13" s="26">
        <f>SUM(AJ14:AJ28)</f>
        <v>0</v>
      </c>
      <c r="AT13" s="26">
        <f>SUM(AK14:AK28)</f>
        <v>0</v>
      </c>
    </row>
    <row r="14" spans="1:63" ht="12.75">
      <c r="A14" s="3" t="s">
        <v>7</v>
      </c>
      <c r="B14" s="9" t="s">
        <v>88</v>
      </c>
      <c r="C14" s="139" t="s">
        <v>176</v>
      </c>
      <c r="D14" s="140"/>
      <c r="E14" s="140"/>
      <c r="F14" s="9" t="s">
        <v>288</v>
      </c>
      <c r="G14" s="14">
        <v>6</v>
      </c>
      <c r="H14" s="14">
        <v>0</v>
      </c>
      <c r="I14" s="14">
        <f aca="true" t="shared" si="0" ref="I14:I28">G14*AN14</f>
        <v>0</v>
      </c>
      <c r="J14" s="14">
        <f aca="true" t="shared" si="1" ref="J14:J28">G14*AO14</f>
        <v>0</v>
      </c>
      <c r="K14" s="14">
        <f aca="true" t="shared" si="2" ref="K14:K28">G14*H14</f>
        <v>0</v>
      </c>
      <c r="L14" s="18"/>
      <c r="Y14" s="21">
        <f aca="true" t="shared" si="3" ref="Y14:Y28">IF(AP14="5",BI14,0)</f>
        <v>0</v>
      </c>
      <c r="AA14" s="21">
        <f aca="true" t="shared" si="4" ref="AA14:AA28">IF(AP14="1",BG14,0)</f>
        <v>0</v>
      </c>
      <c r="AB14" s="21">
        <f aca="true" t="shared" si="5" ref="AB14:AB28">IF(AP14="1",BH14,0)</f>
        <v>0</v>
      </c>
      <c r="AC14" s="21">
        <f aca="true" t="shared" si="6" ref="AC14:AC28">IF(AP14="7",BG14,0)</f>
        <v>0</v>
      </c>
      <c r="AD14" s="21">
        <f aca="true" t="shared" si="7" ref="AD14:AD28">IF(AP14="7",BH14,0)</f>
        <v>0</v>
      </c>
      <c r="AE14" s="21">
        <f aca="true" t="shared" si="8" ref="AE14:AE28">IF(AP14="2",BG14,0)</f>
        <v>0</v>
      </c>
      <c r="AF14" s="21">
        <f aca="true" t="shared" si="9" ref="AF14:AF28">IF(AP14="2",BH14,0)</f>
        <v>0</v>
      </c>
      <c r="AG14" s="21">
        <f aca="true" t="shared" si="10" ref="AG14:AG28">IF(AP14="0",BI14,0)</f>
        <v>0</v>
      </c>
      <c r="AH14" s="20" t="s">
        <v>318</v>
      </c>
      <c r="AI14" s="14">
        <f aca="true" t="shared" si="11" ref="AI14:AI28">IF(AM14=0,K14,0)</f>
        <v>0</v>
      </c>
      <c r="AJ14" s="14">
        <f aca="true" t="shared" si="12" ref="AJ14:AJ28">IF(AM14=15,K14,0)</f>
        <v>0</v>
      </c>
      <c r="AK14" s="14">
        <f aca="true" t="shared" si="13" ref="AK14:AK28">IF(AM14=21,K14,0)</f>
        <v>0</v>
      </c>
      <c r="AM14" s="21">
        <v>15</v>
      </c>
      <c r="AN14" s="21">
        <f>H14*0</f>
        <v>0</v>
      </c>
      <c r="AO14" s="21">
        <f>H14*(1-0)</f>
        <v>0</v>
      </c>
      <c r="AP14" s="22" t="s">
        <v>13</v>
      </c>
      <c r="AU14" s="21">
        <f aca="true" t="shared" si="14" ref="AU14:AU28">AV14+AW14</f>
        <v>0</v>
      </c>
      <c r="AV14" s="21">
        <f aca="true" t="shared" si="15" ref="AV14:AV28">G14*AN14</f>
        <v>0</v>
      </c>
      <c r="AW14" s="21">
        <f aca="true" t="shared" si="16" ref="AW14:AW28">G14*AO14</f>
        <v>0</v>
      </c>
      <c r="AX14" s="24" t="s">
        <v>330</v>
      </c>
      <c r="AY14" s="24" t="s">
        <v>346</v>
      </c>
      <c r="AZ14" s="20" t="s">
        <v>363</v>
      </c>
      <c r="BB14" s="21">
        <f aca="true" t="shared" si="17" ref="BB14:BB28">AV14+AW14</f>
        <v>0</v>
      </c>
      <c r="BC14" s="21">
        <f aca="true" t="shared" si="18" ref="BC14:BC28">H14/(100-BD14)*100</f>
        <v>0</v>
      </c>
      <c r="BD14" s="21">
        <v>0</v>
      </c>
      <c r="BE14" s="21">
        <f>14</f>
        <v>14</v>
      </c>
      <c r="BG14" s="14">
        <f aca="true" t="shared" si="19" ref="BG14:BG28">G14*AN14</f>
        <v>0</v>
      </c>
      <c r="BH14" s="14">
        <f aca="true" t="shared" si="20" ref="BH14:BH28">G14*AO14</f>
        <v>0</v>
      </c>
      <c r="BI14" s="14">
        <f aca="true" t="shared" si="21" ref="BI14:BI28">G14*H14</f>
        <v>0</v>
      </c>
      <c r="BJ14" s="14" t="s">
        <v>164</v>
      </c>
      <c r="BK14" s="21">
        <v>725</v>
      </c>
    </row>
    <row r="15" spans="1:63" ht="12.75">
      <c r="A15" s="3" t="s">
        <v>8</v>
      </c>
      <c r="B15" s="9" t="s">
        <v>89</v>
      </c>
      <c r="C15" s="139" t="s">
        <v>177</v>
      </c>
      <c r="D15" s="140"/>
      <c r="E15" s="140"/>
      <c r="F15" s="9" t="s">
        <v>289</v>
      </c>
      <c r="G15" s="14">
        <v>6</v>
      </c>
      <c r="H15" s="14">
        <v>0</v>
      </c>
      <c r="I15" s="14">
        <f t="shared" si="0"/>
        <v>0</v>
      </c>
      <c r="J15" s="14">
        <f t="shared" si="1"/>
        <v>0</v>
      </c>
      <c r="K15" s="14">
        <f t="shared" si="2"/>
        <v>0</v>
      </c>
      <c r="L15" s="18"/>
      <c r="Y15" s="21">
        <f t="shared" si="3"/>
        <v>0</v>
      </c>
      <c r="AA15" s="21">
        <f t="shared" si="4"/>
        <v>0</v>
      </c>
      <c r="AB15" s="21">
        <f t="shared" si="5"/>
        <v>0</v>
      </c>
      <c r="AC15" s="21">
        <f t="shared" si="6"/>
        <v>0</v>
      </c>
      <c r="AD15" s="21">
        <f t="shared" si="7"/>
        <v>0</v>
      </c>
      <c r="AE15" s="21">
        <f t="shared" si="8"/>
        <v>0</v>
      </c>
      <c r="AF15" s="21">
        <f t="shared" si="9"/>
        <v>0</v>
      </c>
      <c r="AG15" s="21">
        <f t="shared" si="10"/>
        <v>0</v>
      </c>
      <c r="AH15" s="20" t="s">
        <v>318</v>
      </c>
      <c r="AI15" s="14">
        <f t="shared" si="11"/>
        <v>0</v>
      </c>
      <c r="AJ15" s="14">
        <f t="shared" si="12"/>
        <v>0</v>
      </c>
      <c r="AK15" s="14">
        <f t="shared" si="13"/>
        <v>0</v>
      </c>
      <c r="AM15" s="21">
        <v>15</v>
      </c>
      <c r="AN15" s="21">
        <f>H15*0.457479229191532</f>
        <v>0</v>
      </c>
      <c r="AO15" s="21">
        <f>H15*(1-0.457479229191532)</f>
        <v>0</v>
      </c>
      <c r="AP15" s="22" t="s">
        <v>13</v>
      </c>
      <c r="AU15" s="21">
        <f t="shared" si="14"/>
        <v>0</v>
      </c>
      <c r="AV15" s="21">
        <f t="shared" si="15"/>
        <v>0</v>
      </c>
      <c r="AW15" s="21">
        <f t="shared" si="16"/>
        <v>0</v>
      </c>
      <c r="AX15" s="24" t="s">
        <v>330</v>
      </c>
      <c r="AY15" s="24" t="s">
        <v>346</v>
      </c>
      <c r="AZ15" s="20" t="s">
        <v>363</v>
      </c>
      <c r="BB15" s="21">
        <f t="shared" si="17"/>
        <v>0</v>
      </c>
      <c r="BC15" s="21">
        <f t="shared" si="18"/>
        <v>0</v>
      </c>
      <c r="BD15" s="21">
        <v>0</v>
      </c>
      <c r="BE15" s="21">
        <f>15</f>
        <v>15</v>
      </c>
      <c r="BG15" s="14">
        <f t="shared" si="19"/>
        <v>0</v>
      </c>
      <c r="BH15" s="14">
        <f t="shared" si="20"/>
        <v>0</v>
      </c>
      <c r="BI15" s="14">
        <f t="shared" si="21"/>
        <v>0</v>
      </c>
      <c r="BJ15" s="14" t="s">
        <v>164</v>
      </c>
      <c r="BK15" s="21">
        <v>725</v>
      </c>
    </row>
    <row r="16" spans="1:63" ht="12.75">
      <c r="A16" s="3" t="s">
        <v>9</v>
      </c>
      <c r="B16" s="9" t="s">
        <v>90</v>
      </c>
      <c r="C16" s="139" t="s">
        <v>178</v>
      </c>
      <c r="D16" s="140"/>
      <c r="E16" s="140"/>
      <c r="F16" s="9" t="s">
        <v>288</v>
      </c>
      <c r="G16" s="14">
        <v>6</v>
      </c>
      <c r="H16" s="14">
        <v>0</v>
      </c>
      <c r="I16" s="14">
        <f t="shared" si="0"/>
        <v>0</v>
      </c>
      <c r="J16" s="14">
        <f t="shared" si="1"/>
        <v>0</v>
      </c>
      <c r="K16" s="14">
        <f t="shared" si="2"/>
        <v>0</v>
      </c>
      <c r="L16" s="18"/>
      <c r="Y16" s="21">
        <f t="shared" si="3"/>
        <v>0</v>
      </c>
      <c r="AA16" s="21">
        <f t="shared" si="4"/>
        <v>0</v>
      </c>
      <c r="AB16" s="21">
        <f t="shared" si="5"/>
        <v>0</v>
      </c>
      <c r="AC16" s="21">
        <f t="shared" si="6"/>
        <v>0</v>
      </c>
      <c r="AD16" s="21">
        <f t="shared" si="7"/>
        <v>0</v>
      </c>
      <c r="AE16" s="21">
        <f t="shared" si="8"/>
        <v>0</v>
      </c>
      <c r="AF16" s="21">
        <f t="shared" si="9"/>
        <v>0</v>
      </c>
      <c r="AG16" s="21">
        <f t="shared" si="10"/>
        <v>0</v>
      </c>
      <c r="AH16" s="20" t="s">
        <v>318</v>
      </c>
      <c r="AI16" s="14">
        <f t="shared" si="11"/>
        <v>0</v>
      </c>
      <c r="AJ16" s="14">
        <f t="shared" si="12"/>
        <v>0</v>
      </c>
      <c r="AK16" s="14">
        <f t="shared" si="13"/>
        <v>0</v>
      </c>
      <c r="AM16" s="21">
        <v>15</v>
      </c>
      <c r="AN16" s="21">
        <f>H16*0</f>
        <v>0</v>
      </c>
      <c r="AO16" s="21">
        <f>H16*(1-0)</f>
        <v>0</v>
      </c>
      <c r="AP16" s="22" t="s">
        <v>13</v>
      </c>
      <c r="AU16" s="21">
        <f t="shared" si="14"/>
        <v>0</v>
      </c>
      <c r="AV16" s="21">
        <f t="shared" si="15"/>
        <v>0</v>
      </c>
      <c r="AW16" s="21">
        <f t="shared" si="16"/>
        <v>0</v>
      </c>
      <c r="AX16" s="24" t="s">
        <v>330</v>
      </c>
      <c r="AY16" s="24" t="s">
        <v>346</v>
      </c>
      <c r="AZ16" s="20" t="s">
        <v>363</v>
      </c>
      <c r="BB16" s="21">
        <f t="shared" si="17"/>
        <v>0</v>
      </c>
      <c r="BC16" s="21">
        <f t="shared" si="18"/>
        <v>0</v>
      </c>
      <c r="BD16" s="21">
        <v>0</v>
      </c>
      <c r="BE16" s="21">
        <f>16</f>
        <v>16</v>
      </c>
      <c r="BG16" s="14">
        <f t="shared" si="19"/>
        <v>0</v>
      </c>
      <c r="BH16" s="14">
        <f t="shared" si="20"/>
        <v>0</v>
      </c>
      <c r="BI16" s="14">
        <f t="shared" si="21"/>
        <v>0</v>
      </c>
      <c r="BJ16" s="14" t="s">
        <v>164</v>
      </c>
      <c r="BK16" s="21">
        <v>725</v>
      </c>
    </row>
    <row r="17" spans="1:63" ht="12.75">
      <c r="A17" s="3" t="s">
        <v>10</v>
      </c>
      <c r="B17" s="9" t="s">
        <v>91</v>
      </c>
      <c r="C17" s="139" t="s">
        <v>179</v>
      </c>
      <c r="D17" s="140"/>
      <c r="E17" s="140"/>
      <c r="F17" s="9" t="s">
        <v>289</v>
      </c>
      <c r="G17" s="14">
        <v>6</v>
      </c>
      <c r="H17" s="14">
        <v>0</v>
      </c>
      <c r="I17" s="14">
        <f t="shared" si="0"/>
        <v>0</v>
      </c>
      <c r="J17" s="14">
        <f t="shared" si="1"/>
        <v>0</v>
      </c>
      <c r="K17" s="14">
        <f t="shared" si="2"/>
        <v>0</v>
      </c>
      <c r="L17" s="18"/>
      <c r="Y17" s="21">
        <f t="shared" si="3"/>
        <v>0</v>
      </c>
      <c r="AA17" s="21">
        <f t="shared" si="4"/>
        <v>0</v>
      </c>
      <c r="AB17" s="21">
        <f t="shared" si="5"/>
        <v>0</v>
      </c>
      <c r="AC17" s="21">
        <f t="shared" si="6"/>
        <v>0</v>
      </c>
      <c r="AD17" s="21">
        <f t="shared" si="7"/>
        <v>0</v>
      </c>
      <c r="AE17" s="21">
        <f t="shared" si="8"/>
        <v>0</v>
      </c>
      <c r="AF17" s="21">
        <f t="shared" si="9"/>
        <v>0</v>
      </c>
      <c r="AG17" s="21">
        <f t="shared" si="10"/>
        <v>0</v>
      </c>
      <c r="AH17" s="20" t="s">
        <v>318</v>
      </c>
      <c r="AI17" s="14">
        <f t="shared" si="11"/>
        <v>0</v>
      </c>
      <c r="AJ17" s="14">
        <f t="shared" si="12"/>
        <v>0</v>
      </c>
      <c r="AK17" s="14">
        <f t="shared" si="13"/>
        <v>0</v>
      </c>
      <c r="AM17" s="21">
        <v>15</v>
      </c>
      <c r="AN17" s="21">
        <f>H17*0.179009304078143</f>
        <v>0</v>
      </c>
      <c r="AO17" s="21">
        <f>H17*(1-0.179009304078143)</f>
        <v>0</v>
      </c>
      <c r="AP17" s="22" t="s">
        <v>13</v>
      </c>
      <c r="AU17" s="21">
        <f t="shared" si="14"/>
        <v>0</v>
      </c>
      <c r="AV17" s="21">
        <f t="shared" si="15"/>
        <v>0</v>
      </c>
      <c r="AW17" s="21">
        <f t="shared" si="16"/>
        <v>0</v>
      </c>
      <c r="AX17" s="24" t="s">
        <v>330</v>
      </c>
      <c r="AY17" s="24" t="s">
        <v>346</v>
      </c>
      <c r="AZ17" s="20" t="s">
        <v>363</v>
      </c>
      <c r="BB17" s="21">
        <f t="shared" si="17"/>
        <v>0</v>
      </c>
      <c r="BC17" s="21">
        <f t="shared" si="18"/>
        <v>0</v>
      </c>
      <c r="BD17" s="21">
        <v>0</v>
      </c>
      <c r="BE17" s="21">
        <f>17</f>
        <v>17</v>
      </c>
      <c r="BG17" s="14">
        <f t="shared" si="19"/>
        <v>0</v>
      </c>
      <c r="BH17" s="14">
        <f t="shared" si="20"/>
        <v>0</v>
      </c>
      <c r="BI17" s="14">
        <f t="shared" si="21"/>
        <v>0</v>
      </c>
      <c r="BJ17" s="14" t="s">
        <v>164</v>
      </c>
      <c r="BK17" s="21">
        <v>725</v>
      </c>
    </row>
    <row r="18" spans="1:63" ht="12.75">
      <c r="A18" s="3" t="s">
        <v>11</v>
      </c>
      <c r="B18" s="9" t="s">
        <v>92</v>
      </c>
      <c r="C18" s="139" t="s">
        <v>180</v>
      </c>
      <c r="D18" s="140"/>
      <c r="E18" s="140"/>
      <c r="F18" s="9" t="s">
        <v>288</v>
      </c>
      <c r="G18" s="14">
        <v>6</v>
      </c>
      <c r="H18" s="14">
        <v>0</v>
      </c>
      <c r="I18" s="14">
        <f t="shared" si="0"/>
        <v>0</v>
      </c>
      <c r="J18" s="14">
        <f t="shared" si="1"/>
        <v>0</v>
      </c>
      <c r="K18" s="14">
        <f t="shared" si="2"/>
        <v>0</v>
      </c>
      <c r="L18" s="18"/>
      <c r="Y18" s="21">
        <f t="shared" si="3"/>
        <v>0</v>
      </c>
      <c r="AA18" s="21">
        <f t="shared" si="4"/>
        <v>0</v>
      </c>
      <c r="AB18" s="21">
        <f t="shared" si="5"/>
        <v>0</v>
      </c>
      <c r="AC18" s="21">
        <f t="shared" si="6"/>
        <v>0</v>
      </c>
      <c r="AD18" s="21">
        <f t="shared" si="7"/>
        <v>0</v>
      </c>
      <c r="AE18" s="21">
        <f t="shared" si="8"/>
        <v>0</v>
      </c>
      <c r="AF18" s="21">
        <f t="shared" si="9"/>
        <v>0</v>
      </c>
      <c r="AG18" s="21">
        <f t="shared" si="10"/>
        <v>0</v>
      </c>
      <c r="AH18" s="20" t="s">
        <v>318</v>
      </c>
      <c r="AI18" s="14">
        <f t="shared" si="11"/>
        <v>0</v>
      </c>
      <c r="AJ18" s="14">
        <f t="shared" si="12"/>
        <v>0</v>
      </c>
      <c r="AK18" s="14">
        <f t="shared" si="13"/>
        <v>0</v>
      </c>
      <c r="AM18" s="21">
        <v>15</v>
      </c>
      <c r="AN18" s="21">
        <f>H18*0</f>
        <v>0</v>
      </c>
      <c r="AO18" s="21">
        <f>H18*(1-0)</f>
        <v>0</v>
      </c>
      <c r="AP18" s="22" t="s">
        <v>13</v>
      </c>
      <c r="AU18" s="21">
        <f t="shared" si="14"/>
        <v>0</v>
      </c>
      <c r="AV18" s="21">
        <f t="shared" si="15"/>
        <v>0</v>
      </c>
      <c r="AW18" s="21">
        <f t="shared" si="16"/>
        <v>0</v>
      </c>
      <c r="AX18" s="24" t="s">
        <v>330</v>
      </c>
      <c r="AY18" s="24" t="s">
        <v>346</v>
      </c>
      <c r="AZ18" s="20" t="s">
        <v>363</v>
      </c>
      <c r="BB18" s="21">
        <f t="shared" si="17"/>
        <v>0</v>
      </c>
      <c r="BC18" s="21">
        <f t="shared" si="18"/>
        <v>0</v>
      </c>
      <c r="BD18" s="21">
        <v>0</v>
      </c>
      <c r="BE18" s="21">
        <f>18</f>
        <v>18</v>
      </c>
      <c r="BG18" s="14">
        <f t="shared" si="19"/>
        <v>0</v>
      </c>
      <c r="BH18" s="14">
        <f t="shared" si="20"/>
        <v>0</v>
      </c>
      <c r="BI18" s="14">
        <f t="shared" si="21"/>
        <v>0</v>
      </c>
      <c r="BJ18" s="14" t="s">
        <v>164</v>
      </c>
      <c r="BK18" s="21">
        <v>725</v>
      </c>
    </row>
    <row r="19" spans="1:63" ht="12.75">
      <c r="A19" s="3" t="s">
        <v>12</v>
      </c>
      <c r="B19" s="9" t="s">
        <v>93</v>
      </c>
      <c r="C19" s="139" t="s">
        <v>181</v>
      </c>
      <c r="D19" s="140"/>
      <c r="E19" s="140"/>
      <c r="F19" s="9" t="s">
        <v>289</v>
      </c>
      <c r="G19" s="14">
        <v>6</v>
      </c>
      <c r="H19" s="14">
        <v>0</v>
      </c>
      <c r="I19" s="14">
        <f t="shared" si="0"/>
        <v>0</v>
      </c>
      <c r="J19" s="14">
        <f t="shared" si="1"/>
        <v>0</v>
      </c>
      <c r="K19" s="14">
        <f t="shared" si="2"/>
        <v>0</v>
      </c>
      <c r="L19" s="18"/>
      <c r="Y19" s="21">
        <f t="shared" si="3"/>
        <v>0</v>
      </c>
      <c r="AA19" s="21">
        <f t="shared" si="4"/>
        <v>0</v>
      </c>
      <c r="AB19" s="21">
        <f t="shared" si="5"/>
        <v>0</v>
      </c>
      <c r="AC19" s="21">
        <f t="shared" si="6"/>
        <v>0</v>
      </c>
      <c r="AD19" s="21">
        <f t="shared" si="7"/>
        <v>0</v>
      </c>
      <c r="AE19" s="21">
        <f t="shared" si="8"/>
        <v>0</v>
      </c>
      <c r="AF19" s="21">
        <f t="shared" si="9"/>
        <v>0</v>
      </c>
      <c r="AG19" s="21">
        <f t="shared" si="10"/>
        <v>0</v>
      </c>
      <c r="AH19" s="20" t="s">
        <v>318</v>
      </c>
      <c r="AI19" s="14">
        <f t="shared" si="11"/>
        <v>0</v>
      </c>
      <c r="AJ19" s="14">
        <f t="shared" si="12"/>
        <v>0</v>
      </c>
      <c r="AK19" s="14">
        <f t="shared" si="13"/>
        <v>0</v>
      </c>
      <c r="AM19" s="21">
        <v>15</v>
      </c>
      <c r="AN19" s="21">
        <f>H19*0.0311645101663586</f>
        <v>0</v>
      </c>
      <c r="AO19" s="21">
        <f>H19*(1-0.0311645101663586)</f>
        <v>0</v>
      </c>
      <c r="AP19" s="22" t="s">
        <v>13</v>
      </c>
      <c r="AU19" s="21">
        <f t="shared" si="14"/>
        <v>0</v>
      </c>
      <c r="AV19" s="21">
        <f t="shared" si="15"/>
        <v>0</v>
      </c>
      <c r="AW19" s="21">
        <f t="shared" si="16"/>
        <v>0</v>
      </c>
      <c r="AX19" s="24" t="s">
        <v>330</v>
      </c>
      <c r="AY19" s="24" t="s">
        <v>346</v>
      </c>
      <c r="AZ19" s="20" t="s">
        <v>363</v>
      </c>
      <c r="BB19" s="21">
        <f t="shared" si="17"/>
        <v>0</v>
      </c>
      <c r="BC19" s="21">
        <f t="shared" si="18"/>
        <v>0</v>
      </c>
      <c r="BD19" s="21">
        <v>0</v>
      </c>
      <c r="BE19" s="21">
        <f>19</f>
        <v>19</v>
      </c>
      <c r="BG19" s="14">
        <f t="shared" si="19"/>
        <v>0</v>
      </c>
      <c r="BH19" s="14">
        <f t="shared" si="20"/>
        <v>0</v>
      </c>
      <c r="BI19" s="14">
        <f t="shared" si="21"/>
        <v>0</v>
      </c>
      <c r="BJ19" s="14" t="s">
        <v>164</v>
      </c>
      <c r="BK19" s="21">
        <v>725</v>
      </c>
    </row>
    <row r="20" spans="1:63" ht="12.75">
      <c r="A20" s="3" t="s">
        <v>13</v>
      </c>
      <c r="B20" s="9" t="s">
        <v>94</v>
      </c>
      <c r="C20" s="139" t="s">
        <v>182</v>
      </c>
      <c r="D20" s="140"/>
      <c r="E20" s="140"/>
      <c r="F20" s="9" t="s">
        <v>288</v>
      </c>
      <c r="G20" s="14">
        <v>6</v>
      </c>
      <c r="H20" s="14">
        <v>0</v>
      </c>
      <c r="I20" s="14">
        <f t="shared" si="0"/>
        <v>0</v>
      </c>
      <c r="J20" s="14">
        <f t="shared" si="1"/>
        <v>0</v>
      </c>
      <c r="K20" s="14">
        <f t="shared" si="2"/>
        <v>0</v>
      </c>
      <c r="L20" s="18"/>
      <c r="Y20" s="21">
        <f t="shared" si="3"/>
        <v>0</v>
      </c>
      <c r="AA20" s="21">
        <f t="shared" si="4"/>
        <v>0</v>
      </c>
      <c r="AB20" s="21">
        <f t="shared" si="5"/>
        <v>0</v>
      </c>
      <c r="AC20" s="21">
        <f t="shared" si="6"/>
        <v>0</v>
      </c>
      <c r="AD20" s="21">
        <f t="shared" si="7"/>
        <v>0</v>
      </c>
      <c r="AE20" s="21">
        <f t="shared" si="8"/>
        <v>0</v>
      </c>
      <c r="AF20" s="21">
        <f t="shared" si="9"/>
        <v>0</v>
      </c>
      <c r="AG20" s="21">
        <f t="shared" si="10"/>
        <v>0</v>
      </c>
      <c r="AH20" s="20" t="s">
        <v>318</v>
      </c>
      <c r="AI20" s="14">
        <f t="shared" si="11"/>
        <v>0</v>
      </c>
      <c r="AJ20" s="14">
        <f t="shared" si="12"/>
        <v>0</v>
      </c>
      <c r="AK20" s="14">
        <f t="shared" si="13"/>
        <v>0</v>
      </c>
      <c r="AM20" s="21">
        <v>15</v>
      </c>
      <c r="AN20" s="21">
        <f>H20*0</f>
        <v>0</v>
      </c>
      <c r="AO20" s="21">
        <f>H20*(1-0)</f>
        <v>0</v>
      </c>
      <c r="AP20" s="22" t="s">
        <v>13</v>
      </c>
      <c r="AU20" s="21">
        <f t="shared" si="14"/>
        <v>0</v>
      </c>
      <c r="AV20" s="21">
        <f t="shared" si="15"/>
        <v>0</v>
      </c>
      <c r="AW20" s="21">
        <f t="shared" si="16"/>
        <v>0</v>
      </c>
      <c r="AX20" s="24" t="s">
        <v>330</v>
      </c>
      <c r="AY20" s="24" t="s">
        <v>346</v>
      </c>
      <c r="AZ20" s="20" t="s">
        <v>363</v>
      </c>
      <c r="BB20" s="21">
        <f t="shared" si="17"/>
        <v>0</v>
      </c>
      <c r="BC20" s="21">
        <f t="shared" si="18"/>
        <v>0</v>
      </c>
      <c r="BD20" s="21">
        <v>0</v>
      </c>
      <c r="BE20" s="21">
        <f>20</f>
        <v>20</v>
      </c>
      <c r="BG20" s="14">
        <f t="shared" si="19"/>
        <v>0</v>
      </c>
      <c r="BH20" s="14">
        <f t="shared" si="20"/>
        <v>0</v>
      </c>
      <c r="BI20" s="14">
        <f t="shared" si="21"/>
        <v>0</v>
      </c>
      <c r="BJ20" s="14" t="s">
        <v>164</v>
      </c>
      <c r="BK20" s="21">
        <v>725</v>
      </c>
    </row>
    <row r="21" spans="1:63" ht="12.75">
      <c r="A21" s="3" t="s">
        <v>14</v>
      </c>
      <c r="B21" s="9" t="s">
        <v>95</v>
      </c>
      <c r="C21" s="139" t="s">
        <v>183</v>
      </c>
      <c r="D21" s="140"/>
      <c r="E21" s="140"/>
      <c r="F21" s="9" t="s">
        <v>289</v>
      </c>
      <c r="G21" s="14">
        <v>6</v>
      </c>
      <c r="H21" s="14">
        <v>0</v>
      </c>
      <c r="I21" s="14">
        <f t="shared" si="0"/>
        <v>0</v>
      </c>
      <c r="J21" s="14">
        <f t="shared" si="1"/>
        <v>0</v>
      </c>
      <c r="K21" s="14">
        <f t="shared" si="2"/>
        <v>0</v>
      </c>
      <c r="L21" s="18"/>
      <c r="Y21" s="21">
        <f t="shared" si="3"/>
        <v>0</v>
      </c>
      <c r="AA21" s="21">
        <f t="shared" si="4"/>
        <v>0</v>
      </c>
      <c r="AB21" s="21">
        <f t="shared" si="5"/>
        <v>0</v>
      </c>
      <c r="AC21" s="21">
        <f t="shared" si="6"/>
        <v>0</v>
      </c>
      <c r="AD21" s="21">
        <f t="shared" si="7"/>
        <v>0</v>
      </c>
      <c r="AE21" s="21">
        <f t="shared" si="8"/>
        <v>0</v>
      </c>
      <c r="AF21" s="21">
        <f t="shared" si="9"/>
        <v>0</v>
      </c>
      <c r="AG21" s="21">
        <f t="shared" si="10"/>
        <v>0</v>
      </c>
      <c r="AH21" s="20" t="s">
        <v>318</v>
      </c>
      <c r="AI21" s="14">
        <f t="shared" si="11"/>
        <v>0</v>
      </c>
      <c r="AJ21" s="14">
        <f t="shared" si="12"/>
        <v>0</v>
      </c>
      <c r="AK21" s="14">
        <f t="shared" si="13"/>
        <v>0</v>
      </c>
      <c r="AM21" s="21">
        <v>15</v>
      </c>
      <c r="AN21" s="21">
        <f>H21*0.268412904041202</f>
        <v>0</v>
      </c>
      <c r="AO21" s="21">
        <f>H21*(1-0.268412904041202)</f>
        <v>0</v>
      </c>
      <c r="AP21" s="22" t="s">
        <v>13</v>
      </c>
      <c r="AU21" s="21">
        <f t="shared" si="14"/>
        <v>0</v>
      </c>
      <c r="AV21" s="21">
        <f t="shared" si="15"/>
        <v>0</v>
      </c>
      <c r="AW21" s="21">
        <f t="shared" si="16"/>
        <v>0</v>
      </c>
      <c r="AX21" s="24" t="s">
        <v>330</v>
      </c>
      <c r="AY21" s="24" t="s">
        <v>346</v>
      </c>
      <c r="AZ21" s="20" t="s">
        <v>363</v>
      </c>
      <c r="BB21" s="21">
        <f t="shared" si="17"/>
        <v>0</v>
      </c>
      <c r="BC21" s="21">
        <f t="shared" si="18"/>
        <v>0</v>
      </c>
      <c r="BD21" s="21">
        <v>0</v>
      </c>
      <c r="BE21" s="21">
        <f>21</f>
        <v>21</v>
      </c>
      <c r="BG21" s="14">
        <f t="shared" si="19"/>
        <v>0</v>
      </c>
      <c r="BH21" s="14">
        <f t="shared" si="20"/>
        <v>0</v>
      </c>
      <c r="BI21" s="14">
        <f t="shared" si="21"/>
        <v>0</v>
      </c>
      <c r="BJ21" s="14" t="s">
        <v>164</v>
      </c>
      <c r="BK21" s="21">
        <v>725</v>
      </c>
    </row>
    <row r="22" spans="1:63" ht="12.75">
      <c r="A22" s="3" t="s">
        <v>15</v>
      </c>
      <c r="B22" s="9" t="s">
        <v>96</v>
      </c>
      <c r="C22" s="139" t="s">
        <v>184</v>
      </c>
      <c r="D22" s="140"/>
      <c r="E22" s="140"/>
      <c r="F22" s="9" t="s">
        <v>289</v>
      </c>
      <c r="G22" s="14">
        <v>6</v>
      </c>
      <c r="H22" s="14">
        <v>0</v>
      </c>
      <c r="I22" s="14">
        <f t="shared" si="0"/>
        <v>0</v>
      </c>
      <c r="J22" s="14">
        <f t="shared" si="1"/>
        <v>0</v>
      </c>
      <c r="K22" s="14">
        <f t="shared" si="2"/>
        <v>0</v>
      </c>
      <c r="L22" s="18"/>
      <c r="Y22" s="21">
        <f t="shared" si="3"/>
        <v>0</v>
      </c>
      <c r="AA22" s="21">
        <f t="shared" si="4"/>
        <v>0</v>
      </c>
      <c r="AB22" s="21">
        <f t="shared" si="5"/>
        <v>0</v>
      </c>
      <c r="AC22" s="21">
        <f t="shared" si="6"/>
        <v>0</v>
      </c>
      <c r="AD22" s="21">
        <f t="shared" si="7"/>
        <v>0</v>
      </c>
      <c r="AE22" s="21">
        <f t="shared" si="8"/>
        <v>0</v>
      </c>
      <c r="AF22" s="21">
        <f t="shared" si="9"/>
        <v>0</v>
      </c>
      <c r="AG22" s="21">
        <f t="shared" si="10"/>
        <v>0</v>
      </c>
      <c r="AH22" s="20" t="s">
        <v>318</v>
      </c>
      <c r="AI22" s="14">
        <f t="shared" si="11"/>
        <v>0</v>
      </c>
      <c r="AJ22" s="14">
        <f t="shared" si="12"/>
        <v>0</v>
      </c>
      <c r="AK22" s="14">
        <f t="shared" si="13"/>
        <v>0</v>
      </c>
      <c r="AM22" s="21">
        <v>15</v>
      </c>
      <c r="AN22" s="21">
        <f>H22*0</f>
        <v>0</v>
      </c>
      <c r="AO22" s="21">
        <f>H22*(1-0)</f>
        <v>0</v>
      </c>
      <c r="AP22" s="22" t="s">
        <v>13</v>
      </c>
      <c r="AU22" s="21">
        <f t="shared" si="14"/>
        <v>0</v>
      </c>
      <c r="AV22" s="21">
        <f t="shared" si="15"/>
        <v>0</v>
      </c>
      <c r="AW22" s="21">
        <f t="shared" si="16"/>
        <v>0</v>
      </c>
      <c r="AX22" s="24" t="s">
        <v>330</v>
      </c>
      <c r="AY22" s="24" t="s">
        <v>346</v>
      </c>
      <c r="AZ22" s="20" t="s">
        <v>363</v>
      </c>
      <c r="BB22" s="21">
        <f t="shared" si="17"/>
        <v>0</v>
      </c>
      <c r="BC22" s="21">
        <f t="shared" si="18"/>
        <v>0</v>
      </c>
      <c r="BD22" s="21">
        <v>0</v>
      </c>
      <c r="BE22" s="21">
        <f>22</f>
        <v>22</v>
      </c>
      <c r="BG22" s="14">
        <f t="shared" si="19"/>
        <v>0</v>
      </c>
      <c r="BH22" s="14">
        <f t="shared" si="20"/>
        <v>0</v>
      </c>
      <c r="BI22" s="14">
        <f t="shared" si="21"/>
        <v>0</v>
      </c>
      <c r="BJ22" s="14" t="s">
        <v>164</v>
      </c>
      <c r="BK22" s="21">
        <v>725</v>
      </c>
    </row>
    <row r="23" spans="1:63" ht="12.75">
      <c r="A23" s="3" t="s">
        <v>16</v>
      </c>
      <c r="B23" s="9" t="s">
        <v>97</v>
      </c>
      <c r="C23" s="139" t="s">
        <v>185</v>
      </c>
      <c r="D23" s="140"/>
      <c r="E23" s="140"/>
      <c r="F23" s="9" t="s">
        <v>289</v>
      </c>
      <c r="G23" s="14">
        <v>6</v>
      </c>
      <c r="H23" s="14">
        <v>0</v>
      </c>
      <c r="I23" s="14">
        <f t="shared" si="0"/>
        <v>0</v>
      </c>
      <c r="J23" s="14">
        <f t="shared" si="1"/>
        <v>0</v>
      </c>
      <c r="K23" s="14">
        <f t="shared" si="2"/>
        <v>0</v>
      </c>
      <c r="L23" s="18"/>
      <c r="Y23" s="21">
        <f t="shared" si="3"/>
        <v>0</v>
      </c>
      <c r="AA23" s="21">
        <f t="shared" si="4"/>
        <v>0</v>
      </c>
      <c r="AB23" s="21">
        <f t="shared" si="5"/>
        <v>0</v>
      </c>
      <c r="AC23" s="21">
        <f t="shared" si="6"/>
        <v>0</v>
      </c>
      <c r="AD23" s="21">
        <f t="shared" si="7"/>
        <v>0</v>
      </c>
      <c r="AE23" s="21">
        <f t="shared" si="8"/>
        <v>0</v>
      </c>
      <c r="AF23" s="21">
        <f t="shared" si="9"/>
        <v>0</v>
      </c>
      <c r="AG23" s="21">
        <f t="shared" si="10"/>
        <v>0</v>
      </c>
      <c r="AH23" s="20" t="s">
        <v>318</v>
      </c>
      <c r="AI23" s="14">
        <f t="shared" si="11"/>
        <v>0</v>
      </c>
      <c r="AJ23" s="14">
        <f t="shared" si="12"/>
        <v>0</v>
      </c>
      <c r="AK23" s="14">
        <f t="shared" si="13"/>
        <v>0</v>
      </c>
      <c r="AM23" s="21">
        <v>15</v>
      </c>
      <c r="AN23" s="21">
        <f>H23*0.20976897689769</f>
        <v>0</v>
      </c>
      <c r="AO23" s="21">
        <f>H23*(1-0.20976897689769)</f>
        <v>0</v>
      </c>
      <c r="AP23" s="22" t="s">
        <v>13</v>
      </c>
      <c r="AU23" s="21">
        <f t="shared" si="14"/>
        <v>0</v>
      </c>
      <c r="AV23" s="21">
        <f t="shared" si="15"/>
        <v>0</v>
      </c>
      <c r="AW23" s="21">
        <f t="shared" si="16"/>
        <v>0</v>
      </c>
      <c r="AX23" s="24" t="s">
        <v>330</v>
      </c>
      <c r="AY23" s="24" t="s">
        <v>346</v>
      </c>
      <c r="AZ23" s="20" t="s">
        <v>363</v>
      </c>
      <c r="BB23" s="21">
        <f t="shared" si="17"/>
        <v>0</v>
      </c>
      <c r="BC23" s="21">
        <f t="shared" si="18"/>
        <v>0</v>
      </c>
      <c r="BD23" s="21">
        <v>0</v>
      </c>
      <c r="BE23" s="21">
        <f>23</f>
        <v>23</v>
      </c>
      <c r="BG23" s="14">
        <f t="shared" si="19"/>
        <v>0</v>
      </c>
      <c r="BH23" s="14">
        <f t="shared" si="20"/>
        <v>0</v>
      </c>
      <c r="BI23" s="14">
        <f t="shared" si="21"/>
        <v>0</v>
      </c>
      <c r="BJ23" s="14" t="s">
        <v>164</v>
      </c>
      <c r="BK23" s="21">
        <v>725</v>
      </c>
    </row>
    <row r="24" spans="1:63" ht="12.75">
      <c r="A24" s="3" t="s">
        <v>17</v>
      </c>
      <c r="B24" s="9" t="s">
        <v>98</v>
      </c>
      <c r="C24" s="139" t="s">
        <v>186</v>
      </c>
      <c r="D24" s="140"/>
      <c r="E24" s="140"/>
      <c r="F24" s="9" t="s">
        <v>289</v>
      </c>
      <c r="G24" s="14">
        <v>18</v>
      </c>
      <c r="H24" s="14">
        <v>0</v>
      </c>
      <c r="I24" s="14">
        <f t="shared" si="0"/>
        <v>0</v>
      </c>
      <c r="J24" s="14">
        <f t="shared" si="1"/>
        <v>0</v>
      </c>
      <c r="K24" s="14">
        <f t="shared" si="2"/>
        <v>0</v>
      </c>
      <c r="L24" s="18"/>
      <c r="Y24" s="21">
        <f t="shared" si="3"/>
        <v>0</v>
      </c>
      <c r="AA24" s="21">
        <f t="shared" si="4"/>
        <v>0</v>
      </c>
      <c r="AB24" s="21">
        <f t="shared" si="5"/>
        <v>0</v>
      </c>
      <c r="AC24" s="21">
        <f t="shared" si="6"/>
        <v>0</v>
      </c>
      <c r="AD24" s="21">
        <f t="shared" si="7"/>
        <v>0</v>
      </c>
      <c r="AE24" s="21">
        <f t="shared" si="8"/>
        <v>0</v>
      </c>
      <c r="AF24" s="21">
        <f t="shared" si="9"/>
        <v>0</v>
      </c>
      <c r="AG24" s="21">
        <f t="shared" si="10"/>
        <v>0</v>
      </c>
      <c r="AH24" s="20" t="s">
        <v>318</v>
      </c>
      <c r="AI24" s="14">
        <f t="shared" si="11"/>
        <v>0</v>
      </c>
      <c r="AJ24" s="14">
        <f t="shared" si="12"/>
        <v>0</v>
      </c>
      <c r="AK24" s="14">
        <f t="shared" si="13"/>
        <v>0</v>
      </c>
      <c r="AM24" s="21">
        <v>15</v>
      </c>
      <c r="AN24" s="21">
        <f>H24*0</f>
        <v>0</v>
      </c>
      <c r="AO24" s="21">
        <f>H24*(1-0)</f>
        <v>0</v>
      </c>
      <c r="AP24" s="22" t="s">
        <v>13</v>
      </c>
      <c r="AU24" s="21">
        <f t="shared" si="14"/>
        <v>0</v>
      </c>
      <c r="AV24" s="21">
        <f t="shared" si="15"/>
        <v>0</v>
      </c>
      <c r="AW24" s="21">
        <f t="shared" si="16"/>
        <v>0</v>
      </c>
      <c r="AX24" s="24" t="s">
        <v>330</v>
      </c>
      <c r="AY24" s="24" t="s">
        <v>346</v>
      </c>
      <c r="AZ24" s="20" t="s">
        <v>363</v>
      </c>
      <c r="BB24" s="21">
        <f t="shared" si="17"/>
        <v>0</v>
      </c>
      <c r="BC24" s="21">
        <f t="shared" si="18"/>
        <v>0</v>
      </c>
      <c r="BD24" s="21">
        <v>0</v>
      </c>
      <c r="BE24" s="21">
        <f>24</f>
        <v>24</v>
      </c>
      <c r="BG24" s="14">
        <f t="shared" si="19"/>
        <v>0</v>
      </c>
      <c r="BH24" s="14">
        <f t="shared" si="20"/>
        <v>0</v>
      </c>
      <c r="BI24" s="14">
        <f t="shared" si="21"/>
        <v>0</v>
      </c>
      <c r="BJ24" s="14" t="s">
        <v>164</v>
      </c>
      <c r="BK24" s="21">
        <v>725</v>
      </c>
    </row>
    <row r="25" spans="1:63" ht="12.75">
      <c r="A25" s="3" t="s">
        <v>18</v>
      </c>
      <c r="B25" s="9" t="s">
        <v>99</v>
      </c>
      <c r="C25" s="139" t="s">
        <v>187</v>
      </c>
      <c r="D25" s="140"/>
      <c r="E25" s="140"/>
      <c r="F25" s="9" t="s">
        <v>289</v>
      </c>
      <c r="G25" s="14">
        <v>18</v>
      </c>
      <c r="H25" s="14">
        <v>0</v>
      </c>
      <c r="I25" s="14">
        <f t="shared" si="0"/>
        <v>0</v>
      </c>
      <c r="J25" s="14">
        <f t="shared" si="1"/>
        <v>0</v>
      </c>
      <c r="K25" s="14">
        <f t="shared" si="2"/>
        <v>0</v>
      </c>
      <c r="L25" s="18"/>
      <c r="Y25" s="21">
        <f t="shared" si="3"/>
        <v>0</v>
      </c>
      <c r="AA25" s="21">
        <f t="shared" si="4"/>
        <v>0</v>
      </c>
      <c r="AB25" s="21">
        <f t="shared" si="5"/>
        <v>0</v>
      </c>
      <c r="AC25" s="21">
        <f t="shared" si="6"/>
        <v>0</v>
      </c>
      <c r="AD25" s="21">
        <f t="shared" si="7"/>
        <v>0</v>
      </c>
      <c r="AE25" s="21">
        <f t="shared" si="8"/>
        <v>0</v>
      </c>
      <c r="AF25" s="21">
        <f t="shared" si="9"/>
        <v>0</v>
      </c>
      <c r="AG25" s="21">
        <f t="shared" si="10"/>
        <v>0</v>
      </c>
      <c r="AH25" s="20" t="s">
        <v>318</v>
      </c>
      <c r="AI25" s="14">
        <f t="shared" si="11"/>
        <v>0</v>
      </c>
      <c r="AJ25" s="14">
        <f t="shared" si="12"/>
        <v>0</v>
      </c>
      <c r="AK25" s="14">
        <f t="shared" si="13"/>
        <v>0</v>
      </c>
      <c r="AM25" s="21">
        <v>15</v>
      </c>
      <c r="AN25" s="21">
        <f>H25*0.166983916797705</f>
        <v>0</v>
      </c>
      <c r="AO25" s="21">
        <f>H25*(1-0.166983916797705)</f>
        <v>0</v>
      </c>
      <c r="AP25" s="22" t="s">
        <v>13</v>
      </c>
      <c r="AU25" s="21">
        <f t="shared" si="14"/>
        <v>0</v>
      </c>
      <c r="AV25" s="21">
        <f t="shared" si="15"/>
        <v>0</v>
      </c>
      <c r="AW25" s="21">
        <f t="shared" si="16"/>
        <v>0</v>
      </c>
      <c r="AX25" s="24" t="s">
        <v>330</v>
      </c>
      <c r="AY25" s="24" t="s">
        <v>346</v>
      </c>
      <c r="AZ25" s="20" t="s">
        <v>363</v>
      </c>
      <c r="BB25" s="21">
        <f t="shared" si="17"/>
        <v>0</v>
      </c>
      <c r="BC25" s="21">
        <f t="shared" si="18"/>
        <v>0</v>
      </c>
      <c r="BD25" s="21">
        <v>0</v>
      </c>
      <c r="BE25" s="21">
        <f>25</f>
        <v>25</v>
      </c>
      <c r="BG25" s="14">
        <f t="shared" si="19"/>
        <v>0</v>
      </c>
      <c r="BH25" s="14">
        <f t="shared" si="20"/>
        <v>0</v>
      </c>
      <c r="BI25" s="14">
        <f t="shared" si="21"/>
        <v>0</v>
      </c>
      <c r="BJ25" s="14" t="s">
        <v>164</v>
      </c>
      <c r="BK25" s="21">
        <v>725</v>
      </c>
    </row>
    <row r="26" spans="1:63" ht="12.75">
      <c r="A26" s="3" t="s">
        <v>19</v>
      </c>
      <c r="B26" s="9" t="s">
        <v>100</v>
      </c>
      <c r="C26" s="139" t="s">
        <v>188</v>
      </c>
      <c r="D26" s="140"/>
      <c r="E26" s="140"/>
      <c r="F26" s="9" t="s">
        <v>289</v>
      </c>
      <c r="G26" s="14">
        <v>18</v>
      </c>
      <c r="H26" s="14">
        <v>0</v>
      </c>
      <c r="I26" s="14">
        <f t="shared" si="0"/>
        <v>0</v>
      </c>
      <c r="J26" s="14">
        <f t="shared" si="1"/>
        <v>0</v>
      </c>
      <c r="K26" s="14">
        <f t="shared" si="2"/>
        <v>0</v>
      </c>
      <c r="L26" s="18"/>
      <c r="Y26" s="21">
        <f t="shared" si="3"/>
        <v>0</v>
      </c>
      <c r="AA26" s="21">
        <f t="shared" si="4"/>
        <v>0</v>
      </c>
      <c r="AB26" s="21">
        <f t="shared" si="5"/>
        <v>0</v>
      </c>
      <c r="AC26" s="21">
        <f t="shared" si="6"/>
        <v>0</v>
      </c>
      <c r="AD26" s="21">
        <f t="shared" si="7"/>
        <v>0</v>
      </c>
      <c r="AE26" s="21">
        <f t="shared" si="8"/>
        <v>0</v>
      </c>
      <c r="AF26" s="21">
        <f t="shared" si="9"/>
        <v>0</v>
      </c>
      <c r="AG26" s="21">
        <f t="shared" si="10"/>
        <v>0</v>
      </c>
      <c r="AH26" s="20" t="s">
        <v>318</v>
      </c>
      <c r="AI26" s="14">
        <f t="shared" si="11"/>
        <v>0</v>
      </c>
      <c r="AJ26" s="14">
        <f t="shared" si="12"/>
        <v>0</v>
      </c>
      <c r="AK26" s="14">
        <f t="shared" si="13"/>
        <v>0</v>
      </c>
      <c r="AM26" s="21">
        <v>15</v>
      </c>
      <c r="AN26" s="21">
        <f>H26*0</f>
        <v>0</v>
      </c>
      <c r="AO26" s="21">
        <f>H26*(1-0)</f>
        <v>0</v>
      </c>
      <c r="AP26" s="22" t="s">
        <v>13</v>
      </c>
      <c r="AU26" s="21">
        <f t="shared" si="14"/>
        <v>0</v>
      </c>
      <c r="AV26" s="21">
        <f t="shared" si="15"/>
        <v>0</v>
      </c>
      <c r="AW26" s="21">
        <f t="shared" si="16"/>
        <v>0</v>
      </c>
      <c r="AX26" s="24" t="s">
        <v>330</v>
      </c>
      <c r="AY26" s="24" t="s">
        <v>346</v>
      </c>
      <c r="AZ26" s="20" t="s">
        <v>363</v>
      </c>
      <c r="BB26" s="21">
        <f t="shared" si="17"/>
        <v>0</v>
      </c>
      <c r="BC26" s="21">
        <f t="shared" si="18"/>
        <v>0</v>
      </c>
      <c r="BD26" s="21">
        <v>0</v>
      </c>
      <c r="BE26" s="21">
        <f>26</f>
        <v>26</v>
      </c>
      <c r="BG26" s="14">
        <f t="shared" si="19"/>
        <v>0</v>
      </c>
      <c r="BH26" s="14">
        <f t="shared" si="20"/>
        <v>0</v>
      </c>
      <c r="BI26" s="14">
        <f t="shared" si="21"/>
        <v>0</v>
      </c>
      <c r="BJ26" s="14" t="s">
        <v>164</v>
      </c>
      <c r="BK26" s="21">
        <v>725</v>
      </c>
    </row>
    <row r="27" spans="1:63" ht="12.75">
      <c r="A27" s="3" t="s">
        <v>20</v>
      </c>
      <c r="B27" s="9" t="s">
        <v>101</v>
      </c>
      <c r="C27" s="139" t="s">
        <v>189</v>
      </c>
      <c r="D27" s="140"/>
      <c r="E27" s="140"/>
      <c r="F27" s="9" t="s">
        <v>289</v>
      </c>
      <c r="G27" s="14">
        <v>18</v>
      </c>
      <c r="H27" s="14">
        <v>0</v>
      </c>
      <c r="I27" s="14">
        <f t="shared" si="0"/>
        <v>0</v>
      </c>
      <c r="J27" s="14">
        <f t="shared" si="1"/>
        <v>0</v>
      </c>
      <c r="K27" s="14">
        <f t="shared" si="2"/>
        <v>0</v>
      </c>
      <c r="L27" s="18"/>
      <c r="Y27" s="21">
        <f t="shared" si="3"/>
        <v>0</v>
      </c>
      <c r="AA27" s="21">
        <f t="shared" si="4"/>
        <v>0</v>
      </c>
      <c r="AB27" s="21">
        <f t="shared" si="5"/>
        <v>0</v>
      </c>
      <c r="AC27" s="21">
        <f t="shared" si="6"/>
        <v>0</v>
      </c>
      <c r="AD27" s="21">
        <f t="shared" si="7"/>
        <v>0</v>
      </c>
      <c r="AE27" s="21">
        <f t="shared" si="8"/>
        <v>0</v>
      </c>
      <c r="AF27" s="21">
        <f t="shared" si="9"/>
        <v>0</v>
      </c>
      <c r="AG27" s="21">
        <f t="shared" si="10"/>
        <v>0</v>
      </c>
      <c r="AH27" s="20" t="s">
        <v>318</v>
      </c>
      <c r="AI27" s="14">
        <f t="shared" si="11"/>
        <v>0</v>
      </c>
      <c r="AJ27" s="14">
        <f t="shared" si="12"/>
        <v>0</v>
      </c>
      <c r="AK27" s="14">
        <f t="shared" si="13"/>
        <v>0</v>
      </c>
      <c r="AM27" s="21">
        <v>15</v>
      </c>
      <c r="AN27" s="21">
        <f>H27*0.179518204817952</f>
        <v>0</v>
      </c>
      <c r="AO27" s="21">
        <f>H27*(1-0.179518204817952)</f>
        <v>0</v>
      </c>
      <c r="AP27" s="22" t="s">
        <v>13</v>
      </c>
      <c r="AU27" s="21">
        <f t="shared" si="14"/>
        <v>0</v>
      </c>
      <c r="AV27" s="21">
        <f t="shared" si="15"/>
        <v>0</v>
      </c>
      <c r="AW27" s="21">
        <f t="shared" si="16"/>
        <v>0</v>
      </c>
      <c r="AX27" s="24" t="s">
        <v>330</v>
      </c>
      <c r="AY27" s="24" t="s">
        <v>346</v>
      </c>
      <c r="AZ27" s="20" t="s">
        <v>363</v>
      </c>
      <c r="BB27" s="21">
        <f t="shared" si="17"/>
        <v>0</v>
      </c>
      <c r="BC27" s="21">
        <f t="shared" si="18"/>
        <v>0</v>
      </c>
      <c r="BD27" s="21">
        <v>0</v>
      </c>
      <c r="BE27" s="21">
        <f>27</f>
        <v>27</v>
      </c>
      <c r="BG27" s="14">
        <f t="shared" si="19"/>
        <v>0</v>
      </c>
      <c r="BH27" s="14">
        <f t="shared" si="20"/>
        <v>0</v>
      </c>
      <c r="BI27" s="14">
        <f t="shared" si="21"/>
        <v>0</v>
      </c>
      <c r="BJ27" s="14" t="s">
        <v>164</v>
      </c>
      <c r="BK27" s="21">
        <v>725</v>
      </c>
    </row>
    <row r="28" spans="1:63" ht="12.75">
      <c r="A28" s="62" t="s">
        <v>21</v>
      </c>
      <c r="B28" s="63" t="s">
        <v>102</v>
      </c>
      <c r="C28" s="141" t="s">
        <v>190</v>
      </c>
      <c r="D28" s="142"/>
      <c r="E28" s="142"/>
      <c r="F28" s="63" t="s">
        <v>289</v>
      </c>
      <c r="G28" s="64">
        <v>18</v>
      </c>
      <c r="H28" s="64">
        <v>0</v>
      </c>
      <c r="I28" s="64">
        <f t="shared" si="0"/>
        <v>0</v>
      </c>
      <c r="J28" s="64">
        <f t="shared" si="1"/>
        <v>0</v>
      </c>
      <c r="K28" s="64">
        <f t="shared" si="2"/>
        <v>0</v>
      </c>
      <c r="L28" s="18"/>
      <c r="Y28" s="21">
        <f t="shared" si="3"/>
        <v>0</v>
      </c>
      <c r="AA28" s="21">
        <f t="shared" si="4"/>
        <v>0</v>
      </c>
      <c r="AB28" s="21">
        <f t="shared" si="5"/>
        <v>0</v>
      </c>
      <c r="AC28" s="21">
        <f t="shared" si="6"/>
        <v>0</v>
      </c>
      <c r="AD28" s="21">
        <f t="shared" si="7"/>
        <v>0</v>
      </c>
      <c r="AE28" s="21">
        <f t="shared" si="8"/>
        <v>0</v>
      </c>
      <c r="AF28" s="21">
        <f t="shared" si="9"/>
        <v>0</v>
      </c>
      <c r="AG28" s="21">
        <f t="shared" si="10"/>
        <v>0</v>
      </c>
      <c r="AH28" s="20" t="s">
        <v>318</v>
      </c>
      <c r="AI28" s="15">
        <f t="shared" si="11"/>
        <v>0</v>
      </c>
      <c r="AJ28" s="15">
        <f t="shared" si="12"/>
        <v>0</v>
      </c>
      <c r="AK28" s="15">
        <f t="shared" si="13"/>
        <v>0</v>
      </c>
      <c r="AM28" s="21">
        <v>15</v>
      </c>
      <c r="AN28" s="21">
        <f>H28*1</f>
        <v>0</v>
      </c>
      <c r="AO28" s="21">
        <f>H28*(1-1)</f>
        <v>0</v>
      </c>
      <c r="AP28" s="23" t="s">
        <v>13</v>
      </c>
      <c r="AU28" s="21">
        <f t="shared" si="14"/>
        <v>0</v>
      </c>
      <c r="AV28" s="21">
        <f t="shared" si="15"/>
        <v>0</v>
      </c>
      <c r="AW28" s="21">
        <f t="shared" si="16"/>
        <v>0</v>
      </c>
      <c r="AX28" s="24" t="s">
        <v>330</v>
      </c>
      <c r="AY28" s="24" t="s">
        <v>346</v>
      </c>
      <c r="AZ28" s="20" t="s">
        <v>363</v>
      </c>
      <c r="BB28" s="21">
        <f t="shared" si="17"/>
        <v>0</v>
      </c>
      <c r="BC28" s="21">
        <f t="shared" si="18"/>
        <v>0</v>
      </c>
      <c r="BD28" s="21">
        <v>0</v>
      </c>
      <c r="BE28" s="21">
        <f>28</f>
        <v>28</v>
      </c>
      <c r="BG28" s="15">
        <f t="shared" si="19"/>
        <v>0</v>
      </c>
      <c r="BH28" s="15">
        <f t="shared" si="20"/>
        <v>0</v>
      </c>
      <c r="BI28" s="15">
        <f t="shared" si="21"/>
        <v>0</v>
      </c>
      <c r="BJ28" s="15" t="s">
        <v>379</v>
      </c>
      <c r="BK28" s="21">
        <v>725</v>
      </c>
    </row>
    <row r="29" spans="1:12" ht="12.75">
      <c r="A29" s="65"/>
      <c r="B29" s="66"/>
      <c r="C29" s="143" t="s">
        <v>191</v>
      </c>
      <c r="D29" s="144"/>
      <c r="E29" s="145"/>
      <c r="F29" s="65" t="s">
        <v>6</v>
      </c>
      <c r="G29" s="65" t="s">
        <v>6</v>
      </c>
      <c r="H29" s="65" t="s">
        <v>6</v>
      </c>
      <c r="I29" s="67">
        <f>I30</f>
        <v>0</v>
      </c>
      <c r="J29" s="67">
        <f>J30</f>
        <v>0</v>
      </c>
      <c r="K29" s="67">
        <f>K30</f>
        <v>0</v>
      </c>
      <c r="L29" s="61"/>
    </row>
    <row r="30" spans="1:46" ht="12.75">
      <c r="A30" s="2"/>
      <c r="B30" s="8" t="s">
        <v>103</v>
      </c>
      <c r="C30" s="137" t="s">
        <v>191</v>
      </c>
      <c r="D30" s="138"/>
      <c r="E30" s="138"/>
      <c r="F30" s="12" t="s">
        <v>6</v>
      </c>
      <c r="G30" s="12" t="s">
        <v>6</v>
      </c>
      <c r="H30" s="12" t="s">
        <v>6</v>
      </c>
      <c r="I30" s="26">
        <f>SUM(I31:I32)</f>
        <v>0</v>
      </c>
      <c r="J30" s="26">
        <f>SUM(J31:J32)</f>
        <v>0</v>
      </c>
      <c r="K30" s="26">
        <f>SUM(K31:K32)</f>
        <v>0</v>
      </c>
      <c r="L30" s="18"/>
      <c r="AH30" s="20" t="s">
        <v>319</v>
      </c>
      <c r="AR30" s="26">
        <f>SUM(AI31:AI32)</f>
        <v>0</v>
      </c>
      <c r="AS30" s="26">
        <f>SUM(AJ31:AJ32)</f>
        <v>0</v>
      </c>
      <c r="AT30" s="26">
        <f>SUM(AK31:AK32)</f>
        <v>0</v>
      </c>
    </row>
    <row r="31" spans="1:63" ht="12.75">
      <c r="A31" s="3" t="s">
        <v>22</v>
      </c>
      <c r="B31" s="9" t="s">
        <v>104</v>
      </c>
      <c r="C31" s="139" t="s">
        <v>192</v>
      </c>
      <c r="D31" s="140"/>
      <c r="E31" s="140"/>
      <c r="F31" s="9" t="s">
        <v>290</v>
      </c>
      <c r="G31" s="14">
        <v>1</v>
      </c>
      <c r="H31" s="14">
        <v>0</v>
      </c>
      <c r="I31" s="14">
        <f>G31*AN31</f>
        <v>0</v>
      </c>
      <c r="J31" s="14">
        <f>G31*AO31</f>
        <v>0</v>
      </c>
      <c r="K31" s="14">
        <f>G31*H31</f>
        <v>0</v>
      </c>
      <c r="L31" s="18"/>
      <c r="Y31" s="21">
        <f>IF(AP31="5",BI31,0)</f>
        <v>0</v>
      </c>
      <c r="AA31" s="21">
        <f>IF(AP31="1",BG31,0)</f>
        <v>0</v>
      </c>
      <c r="AB31" s="21">
        <f>IF(AP31="1",BH31,0)</f>
        <v>0</v>
      </c>
      <c r="AC31" s="21">
        <f>IF(AP31="7",BG31,0)</f>
        <v>0</v>
      </c>
      <c r="AD31" s="21">
        <f>IF(AP31="7",BH31,0)</f>
        <v>0</v>
      </c>
      <c r="AE31" s="21">
        <f>IF(AP31="2",BG31,0)</f>
        <v>0</v>
      </c>
      <c r="AF31" s="21">
        <f>IF(AP31="2",BH31,0)</f>
        <v>0</v>
      </c>
      <c r="AG31" s="21">
        <f>IF(AP31="0",BI31,0)</f>
        <v>0</v>
      </c>
      <c r="AH31" s="20" t="s">
        <v>319</v>
      </c>
      <c r="AI31" s="14">
        <f>IF(AM31=0,K31,0)</f>
        <v>0</v>
      </c>
      <c r="AJ31" s="14">
        <f>IF(AM31=15,K31,0)</f>
        <v>0</v>
      </c>
      <c r="AK31" s="14">
        <f>IF(AM31=21,K31,0)</f>
        <v>0</v>
      </c>
      <c r="AM31" s="21">
        <v>15</v>
      </c>
      <c r="AN31" s="21">
        <f>H31*0</f>
        <v>0</v>
      </c>
      <c r="AO31" s="21">
        <f>H31*(1-0)</f>
        <v>0</v>
      </c>
      <c r="AP31" s="22" t="s">
        <v>13</v>
      </c>
      <c r="AU31" s="21">
        <f>AV31+AW31</f>
        <v>0</v>
      </c>
      <c r="AV31" s="21">
        <f>G31*AN31</f>
        <v>0</v>
      </c>
      <c r="AW31" s="21">
        <f>G31*AO31</f>
        <v>0</v>
      </c>
      <c r="AX31" s="24" t="s">
        <v>331</v>
      </c>
      <c r="AY31" s="24" t="s">
        <v>347</v>
      </c>
      <c r="AZ31" s="20" t="s">
        <v>364</v>
      </c>
      <c r="BB31" s="21">
        <f>AV31+AW31</f>
        <v>0</v>
      </c>
      <c r="BC31" s="21">
        <f>H31/(100-BD31)*100</f>
        <v>0</v>
      </c>
      <c r="BD31" s="21">
        <v>0</v>
      </c>
      <c r="BE31" s="21">
        <f>31</f>
        <v>31</v>
      </c>
      <c r="BG31" s="14">
        <f>G31*AN31</f>
        <v>0</v>
      </c>
      <c r="BH31" s="14">
        <f>G31*AO31</f>
        <v>0</v>
      </c>
      <c r="BI31" s="14">
        <f>G31*H31</f>
        <v>0</v>
      </c>
      <c r="BJ31" s="14" t="s">
        <v>164</v>
      </c>
      <c r="BK31" s="21">
        <v>728</v>
      </c>
    </row>
    <row r="32" spans="1:63" ht="12.75">
      <c r="A32" s="3" t="s">
        <v>23</v>
      </c>
      <c r="B32" s="9" t="s">
        <v>105</v>
      </c>
      <c r="C32" s="139" t="s">
        <v>193</v>
      </c>
      <c r="D32" s="140"/>
      <c r="E32" s="140"/>
      <c r="F32" s="9" t="s">
        <v>290</v>
      </c>
      <c r="G32" s="14">
        <v>1</v>
      </c>
      <c r="H32" s="14">
        <v>0</v>
      </c>
      <c r="I32" s="14">
        <f>G32*AN32</f>
        <v>0</v>
      </c>
      <c r="J32" s="14">
        <f>G32*AO32</f>
        <v>0</v>
      </c>
      <c r="K32" s="14">
        <f>G32*H32</f>
        <v>0</v>
      </c>
      <c r="L32" s="18"/>
      <c r="Y32" s="21">
        <f>IF(AP32="5",BI32,0)</f>
        <v>0</v>
      </c>
      <c r="AA32" s="21">
        <f>IF(AP32="1",BG32,0)</f>
        <v>0</v>
      </c>
      <c r="AB32" s="21">
        <f>IF(AP32="1",BH32,0)</f>
        <v>0</v>
      </c>
      <c r="AC32" s="21">
        <f>IF(AP32="7",BG32,0)</f>
        <v>0</v>
      </c>
      <c r="AD32" s="21">
        <f>IF(AP32="7",BH32,0)</f>
        <v>0</v>
      </c>
      <c r="AE32" s="21">
        <f>IF(AP32="2",BG32,0)</f>
        <v>0</v>
      </c>
      <c r="AF32" s="21">
        <f>IF(AP32="2",BH32,0)</f>
        <v>0</v>
      </c>
      <c r="AG32" s="21">
        <f>IF(AP32="0",BI32,0)</f>
        <v>0</v>
      </c>
      <c r="AH32" s="20" t="s">
        <v>319</v>
      </c>
      <c r="AI32" s="14">
        <f>IF(AM32=0,K32,0)</f>
        <v>0</v>
      </c>
      <c r="AJ32" s="14">
        <f>IF(AM32=15,K32,0)</f>
        <v>0</v>
      </c>
      <c r="AK32" s="14">
        <f>IF(AM32=21,K32,0)</f>
        <v>0</v>
      </c>
      <c r="AM32" s="21">
        <v>15</v>
      </c>
      <c r="AN32" s="21">
        <f>H32*0</f>
        <v>0</v>
      </c>
      <c r="AO32" s="21">
        <f>H32*(1-0)</f>
        <v>0</v>
      </c>
      <c r="AP32" s="22" t="s">
        <v>13</v>
      </c>
      <c r="AU32" s="21">
        <f>AV32+AW32</f>
        <v>0</v>
      </c>
      <c r="AV32" s="21">
        <f>G32*AN32</f>
        <v>0</v>
      </c>
      <c r="AW32" s="21">
        <f>G32*AO32</f>
        <v>0</v>
      </c>
      <c r="AX32" s="24" t="s">
        <v>331</v>
      </c>
      <c r="AY32" s="24" t="s">
        <v>347</v>
      </c>
      <c r="AZ32" s="20" t="s">
        <v>364</v>
      </c>
      <c r="BB32" s="21">
        <f>AV32+AW32</f>
        <v>0</v>
      </c>
      <c r="BC32" s="21">
        <f>H32/(100-BD32)*100</f>
        <v>0</v>
      </c>
      <c r="BD32" s="21">
        <v>0</v>
      </c>
      <c r="BE32" s="21">
        <f>32</f>
        <v>32</v>
      </c>
      <c r="BG32" s="14">
        <f>G32*AN32</f>
        <v>0</v>
      </c>
      <c r="BH32" s="14">
        <f>G32*AO32</f>
        <v>0</v>
      </c>
      <c r="BI32" s="14">
        <f>G32*H32</f>
        <v>0</v>
      </c>
      <c r="BJ32" s="14" t="s">
        <v>164</v>
      </c>
      <c r="BK32" s="21">
        <v>728</v>
      </c>
    </row>
    <row r="33" spans="1:12" ht="12.75">
      <c r="A33" s="65"/>
      <c r="B33" s="66"/>
      <c r="C33" s="143" t="s">
        <v>194</v>
      </c>
      <c r="D33" s="144"/>
      <c r="E33" s="145"/>
      <c r="F33" s="65" t="s">
        <v>6</v>
      </c>
      <c r="G33" s="65" t="s">
        <v>6</v>
      </c>
      <c r="H33" s="65" t="s">
        <v>6</v>
      </c>
      <c r="I33" s="67">
        <f>I34+I36+I39</f>
        <v>0</v>
      </c>
      <c r="J33" s="67">
        <f>J34+J36+J39</f>
        <v>0</v>
      </c>
      <c r="K33" s="67">
        <f>K34+K36+K39</f>
        <v>0</v>
      </c>
      <c r="L33" s="61"/>
    </row>
    <row r="34" spans="1:46" ht="12.75">
      <c r="A34" s="2"/>
      <c r="B34" s="8" t="s">
        <v>106</v>
      </c>
      <c r="C34" s="137" t="s">
        <v>195</v>
      </c>
      <c r="D34" s="138"/>
      <c r="E34" s="138"/>
      <c r="F34" s="12" t="s">
        <v>6</v>
      </c>
      <c r="G34" s="12" t="s">
        <v>6</v>
      </c>
      <c r="H34" s="12" t="s">
        <v>6</v>
      </c>
      <c r="I34" s="26">
        <f>SUM(I35:I35)</f>
        <v>0</v>
      </c>
      <c r="J34" s="26">
        <f>SUM(J35:J35)</f>
        <v>0</v>
      </c>
      <c r="K34" s="26">
        <f>SUM(K35:K35)</f>
        <v>0</v>
      </c>
      <c r="L34" s="18"/>
      <c r="AH34" s="20" t="s">
        <v>320</v>
      </c>
      <c r="AR34" s="26">
        <f>SUM(AI35:AI35)</f>
        <v>0</v>
      </c>
      <c r="AS34" s="26">
        <f>SUM(AJ35:AJ35)</f>
        <v>0</v>
      </c>
      <c r="AT34" s="26">
        <f>SUM(AK35:AK35)</f>
        <v>0</v>
      </c>
    </row>
    <row r="35" spans="1:63" ht="12.75">
      <c r="A35" s="3" t="s">
        <v>24</v>
      </c>
      <c r="B35" s="9" t="s">
        <v>107</v>
      </c>
      <c r="C35" s="139" t="s">
        <v>196</v>
      </c>
      <c r="D35" s="140"/>
      <c r="E35" s="140"/>
      <c r="F35" s="9" t="s">
        <v>289</v>
      </c>
      <c r="G35" s="14">
        <v>18</v>
      </c>
      <c r="H35" s="14">
        <v>0</v>
      </c>
      <c r="I35" s="14">
        <f>G35*AN35</f>
        <v>0</v>
      </c>
      <c r="J35" s="14">
        <f>G35*AO35</f>
        <v>0</v>
      </c>
      <c r="K35" s="14">
        <f>G35*H35</f>
        <v>0</v>
      </c>
      <c r="L35" s="18"/>
      <c r="Y35" s="21">
        <f>IF(AP35="5",BI35,0)</f>
        <v>0</v>
      </c>
      <c r="AA35" s="21">
        <f>IF(AP35="1",BG35,0)</f>
        <v>0</v>
      </c>
      <c r="AB35" s="21">
        <f>IF(AP35="1",BH35,0)</f>
        <v>0</v>
      </c>
      <c r="AC35" s="21">
        <f>IF(AP35="7",BG35,0)</f>
        <v>0</v>
      </c>
      <c r="AD35" s="21">
        <f>IF(AP35="7",BH35,0)</f>
        <v>0</v>
      </c>
      <c r="AE35" s="21">
        <f>IF(AP35="2",BG35,0)</f>
        <v>0</v>
      </c>
      <c r="AF35" s="21">
        <f>IF(AP35="2",BH35,0)</f>
        <v>0</v>
      </c>
      <c r="AG35" s="21">
        <f>IF(AP35="0",BI35,0)</f>
        <v>0</v>
      </c>
      <c r="AH35" s="20" t="s">
        <v>320</v>
      </c>
      <c r="AI35" s="14">
        <f>IF(AM35=0,K35,0)</f>
        <v>0</v>
      </c>
      <c r="AJ35" s="14">
        <f>IF(AM35=15,K35,0)</f>
        <v>0</v>
      </c>
      <c r="AK35" s="14">
        <f>IF(AM35=21,K35,0)</f>
        <v>0</v>
      </c>
      <c r="AM35" s="21">
        <v>15</v>
      </c>
      <c r="AN35" s="21">
        <f>H35*0</f>
        <v>0</v>
      </c>
      <c r="AO35" s="21">
        <f>H35*(1-0)</f>
        <v>0</v>
      </c>
      <c r="AP35" s="22" t="s">
        <v>13</v>
      </c>
      <c r="AU35" s="21">
        <f>AV35+AW35</f>
        <v>0</v>
      </c>
      <c r="AV35" s="21">
        <f>G35*AN35</f>
        <v>0</v>
      </c>
      <c r="AW35" s="21">
        <f>G35*AO35</f>
        <v>0</v>
      </c>
      <c r="AX35" s="24" t="s">
        <v>332</v>
      </c>
      <c r="AY35" s="24" t="s">
        <v>348</v>
      </c>
      <c r="AZ35" s="20" t="s">
        <v>365</v>
      </c>
      <c r="BB35" s="21">
        <f>AV35+AW35</f>
        <v>0</v>
      </c>
      <c r="BC35" s="21">
        <f>H35/(100-BD35)*100</f>
        <v>0</v>
      </c>
      <c r="BD35" s="21">
        <v>0</v>
      </c>
      <c r="BE35" s="21">
        <f>35</f>
        <v>35</v>
      </c>
      <c r="BG35" s="14">
        <f>G35*AN35</f>
        <v>0</v>
      </c>
      <c r="BH35" s="14">
        <f>G35*AO35</f>
        <v>0</v>
      </c>
      <c r="BI35" s="14">
        <f>G35*H35</f>
        <v>0</v>
      </c>
      <c r="BJ35" s="14" t="s">
        <v>164</v>
      </c>
      <c r="BK35" s="21">
        <v>721</v>
      </c>
    </row>
    <row r="36" spans="1:46" ht="12.75">
      <c r="A36" s="2"/>
      <c r="B36" s="8" t="s">
        <v>108</v>
      </c>
      <c r="C36" s="137" t="s">
        <v>197</v>
      </c>
      <c r="D36" s="138"/>
      <c r="E36" s="138"/>
      <c r="F36" s="12" t="s">
        <v>6</v>
      </c>
      <c r="G36" s="12" t="s">
        <v>6</v>
      </c>
      <c r="H36" s="12" t="s">
        <v>6</v>
      </c>
      <c r="I36" s="26">
        <f>SUM(I37:I38)</f>
        <v>0</v>
      </c>
      <c r="J36" s="26">
        <f>SUM(J37:J38)</f>
        <v>0</v>
      </c>
      <c r="K36" s="26">
        <f>SUM(K37:K38)</f>
        <v>0</v>
      </c>
      <c r="L36" s="18"/>
      <c r="AH36" s="20" t="s">
        <v>320</v>
      </c>
      <c r="AR36" s="26">
        <f>SUM(AI37:AI38)</f>
        <v>0</v>
      </c>
      <c r="AS36" s="26">
        <f>SUM(AJ37:AJ38)</f>
        <v>0</v>
      </c>
      <c r="AT36" s="26">
        <f>SUM(AK37:AK38)</f>
        <v>0</v>
      </c>
    </row>
    <row r="37" spans="1:63" ht="12.75">
      <c r="A37" s="3" t="s">
        <v>25</v>
      </c>
      <c r="B37" s="9" t="s">
        <v>109</v>
      </c>
      <c r="C37" s="139" t="s">
        <v>198</v>
      </c>
      <c r="D37" s="140"/>
      <c r="E37" s="140"/>
      <c r="F37" s="9" t="s">
        <v>291</v>
      </c>
      <c r="G37" s="14">
        <v>103.1</v>
      </c>
      <c r="H37" s="14">
        <v>0</v>
      </c>
      <c r="I37" s="14">
        <f>G37*AN37</f>
        <v>0</v>
      </c>
      <c r="J37" s="14">
        <f>G37*AO37</f>
        <v>0</v>
      </c>
      <c r="K37" s="14">
        <f>G37*H37</f>
        <v>0</v>
      </c>
      <c r="L37" s="18"/>
      <c r="Y37" s="21">
        <f>IF(AP37="5",BI37,0)</f>
        <v>0</v>
      </c>
      <c r="AA37" s="21">
        <f>IF(AP37="1",BG37,0)</f>
        <v>0</v>
      </c>
      <c r="AB37" s="21">
        <f>IF(AP37="1",BH37,0)</f>
        <v>0</v>
      </c>
      <c r="AC37" s="21">
        <f>IF(AP37="7",BG37,0)</f>
        <v>0</v>
      </c>
      <c r="AD37" s="21">
        <f>IF(AP37="7",BH37,0)</f>
        <v>0</v>
      </c>
      <c r="AE37" s="21">
        <f>IF(AP37="2",BG37,0)</f>
        <v>0</v>
      </c>
      <c r="AF37" s="21">
        <f>IF(AP37="2",BH37,0)</f>
        <v>0</v>
      </c>
      <c r="AG37" s="21">
        <f>IF(AP37="0",BI37,0)</f>
        <v>0</v>
      </c>
      <c r="AH37" s="20" t="s">
        <v>320</v>
      </c>
      <c r="AI37" s="14">
        <f>IF(AM37=0,K37,0)</f>
        <v>0</v>
      </c>
      <c r="AJ37" s="14">
        <f>IF(AM37=15,K37,0)</f>
        <v>0</v>
      </c>
      <c r="AK37" s="14">
        <f>IF(AM37=21,K37,0)</f>
        <v>0</v>
      </c>
      <c r="AM37" s="21">
        <v>15</v>
      </c>
      <c r="AN37" s="21">
        <f>H37*0</f>
        <v>0</v>
      </c>
      <c r="AO37" s="21">
        <f>H37*(1-0)</f>
        <v>0</v>
      </c>
      <c r="AP37" s="22" t="s">
        <v>13</v>
      </c>
      <c r="AU37" s="21">
        <f>AV37+AW37</f>
        <v>0</v>
      </c>
      <c r="AV37" s="21">
        <f>G37*AN37</f>
        <v>0</v>
      </c>
      <c r="AW37" s="21">
        <f>G37*AO37</f>
        <v>0</v>
      </c>
      <c r="AX37" s="24" t="s">
        <v>333</v>
      </c>
      <c r="AY37" s="24" t="s">
        <v>349</v>
      </c>
      <c r="AZ37" s="20" t="s">
        <v>365</v>
      </c>
      <c r="BB37" s="21">
        <f>AV37+AW37</f>
        <v>0</v>
      </c>
      <c r="BC37" s="21">
        <f>H37/(100-BD37)*100</f>
        <v>0</v>
      </c>
      <c r="BD37" s="21">
        <v>0</v>
      </c>
      <c r="BE37" s="21">
        <f>37</f>
        <v>37</v>
      </c>
      <c r="BG37" s="14">
        <f>G37*AN37</f>
        <v>0</v>
      </c>
      <c r="BH37" s="14">
        <f>G37*AO37</f>
        <v>0</v>
      </c>
      <c r="BI37" s="14">
        <f>G37*H37</f>
        <v>0</v>
      </c>
      <c r="BJ37" s="14" t="s">
        <v>164</v>
      </c>
      <c r="BK37" s="21">
        <v>776</v>
      </c>
    </row>
    <row r="38" spans="1:63" ht="12.75">
      <c r="A38" s="3" t="s">
        <v>26</v>
      </c>
      <c r="B38" s="9" t="s">
        <v>110</v>
      </c>
      <c r="C38" s="139" t="s">
        <v>199</v>
      </c>
      <c r="D38" s="140"/>
      <c r="E38" s="140"/>
      <c r="F38" s="9" t="s">
        <v>291</v>
      </c>
      <c r="G38" s="14">
        <v>103.1</v>
      </c>
      <c r="H38" s="14">
        <v>0</v>
      </c>
      <c r="I38" s="14">
        <f>G38*AN38</f>
        <v>0</v>
      </c>
      <c r="J38" s="14">
        <f>G38*AO38</f>
        <v>0</v>
      </c>
      <c r="K38" s="14">
        <f>G38*H38</f>
        <v>0</v>
      </c>
      <c r="L38" s="18"/>
      <c r="Y38" s="21">
        <f>IF(AP38="5",BI38,0)</f>
        <v>0</v>
      </c>
      <c r="AA38" s="21">
        <f>IF(AP38="1",BG38,0)</f>
        <v>0</v>
      </c>
      <c r="AB38" s="21">
        <f>IF(AP38="1",BH38,0)</f>
        <v>0</v>
      </c>
      <c r="AC38" s="21">
        <f>IF(AP38="7",BG38,0)</f>
        <v>0</v>
      </c>
      <c r="AD38" s="21">
        <f>IF(AP38="7",BH38,0)</f>
        <v>0</v>
      </c>
      <c r="AE38" s="21">
        <f>IF(AP38="2",BG38,0)</f>
        <v>0</v>
      </c>
      <c r="AF38" s="21">
        <f>IF(AP38="2",BH38,0)</f>
        <v>0</v>
      </c>
      <c r="AG38" s="21">
        <f>IF(AP38="0",BI38,0)</f>
        <v>0</v>
      </c>
      <c r="AH38" s="20" t="s">
        <v>320</v>
      </c>
      <c r="AI38" s="14">
        <f>IF(AM38=0,K38,0)</f>
        <v>0</v>
      </c>
      <c r="AJ38" s="14">
        <f>IF(AM38=15,K38,0)</f>
        <v>0</v>
      </c>
      <c r="AK38" s="14">
        <f>IF(AM38=21,K38,0)</f>
        <v>0</v>
      </c>
      <c r="AM38" s="21">
        <v>15</v>
      </c>
      <c r="AN38" s="21">
        <f>H38*0</f>
        <v>0</v>
      </c>
      <c r="AO38" s="21">
        <f>H38*(1-0)</f>
        <v>0</v>
      </c>
      <c r="AP38" s="22" t="s">
        <v>13</v>
      </c>
      <c r="AU38" s="21">
        <f>AV38+AW38</f>
        <v>0</v>
      </c>
      <c r="AV38" s="21">
        <f>G38*AN38</f>
        <v>0</v>
      </c>
      <c r="AW38" s="21">
        <f>G38*AO38</f>
        <v>0</v>
      </c>
      <c r="AX38" s="24" t="s">
        <v>333</v>
      </c>
      <c r="AY38" s="24" t="s">
        <v>349</v>
      </c>
      <c r="AZ38" s="20" t="s">
        <v>365</v>
      </c>
      <c r="BB38" s="21">
        <f>AV38+AW38</f>
        <v>0</v>
      </c>
      <c r="BC38" s="21">
        <f>H38/(100-BD38)*100</f>
        <v>0</v>
      </c>
      <c r="BD38" s="21">
        <v>0</v>
      </c>
      <c r="BE38" s="21">
        <f>38</f>
        <v>38</v>
      </c>
      <c r="BG38" s="14">
        <f>G38*AN38</f>
        <v>0</v>
      </c>
      <c r="BH38" s="14">
        <f>G38*AO38</f>
        <v>0</v>
      </c>
      <c r="BI38" s="14">
        <f>G38*H38</f>
        <v>0</v>
      </c>
      <c r="BJ38" s="14" t="s">
        <v>164</v>
      </c>
      <c r="BK38" s="21">
        <v>776</v>
      </c>
    </row>
    <row r="39" spans="1:46" ht="12.75">
      <c r="A39" s="2"/>
      <c r="B39" s="8" t="s">
        <v>111</v>
      </c>
      <c r="C39" s="137" t="s">
        <v>200</v>
      </c>
      <c r="D39" s="138"/>
      <c r="E39" s="138"/>
      <c r="F39" s="12" t="s">
        <v>6</v>
      </c>
      <c r="G39" s="12" t="s">
        <v>6</v>
      </c>
      <c r="H39" s="12" t="s">
        <v>6</v>
      </c>
      <c r="I39" s="26">
        <f>SUM(I40:I49)</f>
        <v>0</v>
      </c>
      <c r="J39" s="26">
        <f>SUM(J40:J49)</f>
        <v>0</v>
      </c>
      <c r="K39" s="26">
        <f>SUM(K40:K49)</f>
        <v>0</v>
      </c>
      <c r="L39" s="18"/>
      <c r="AH39" s="20" t="s">
        <v>320</v>
      </c>
      <c r="AR39" s="26">
        <f>SUM(AI40:AI49)</f>
        <v>0</v>
      </c>
      <c r="AS39" s="26">
        <f>SUM(AJ40:AJ49)</f>
        <v>0</v>
      </c>
      <c r="AT39" s="26">
        <f>SUM(AK40:AK49)</f>
        <v>0</v>
      </c>
    </row>
    <row r="40" spans="1:63" ht="12.75">
      <c r="A40" s="3" t="s">
        <v>27</v>
      </c>
      <c r="B40" s="9" t="s">
        <v>112</v>
      </c>
      <c r="C40" s="139" t="s">
        <v>201</v>
      </c>
      <c r="D40" s="140"/>
      <c r="E40" s="140"/>
      <c r="F40" s="9" t="s">
        <v>289</v>
      </c>
      <c r="G40" s="14">
        <v>15</v>
      </c>
      <c r="H40" s="14">
        <v>0</v>
      </c>
      <c r="I40" s="14">
        <f aca="true" t="shared" si="22" ref="I40:I49">G40*AN40</f>
        <v>0</v>
      </c>
      <c r="J40" s="14">
        <f aca="true" t="shared" si="23" ref="J40:J49">G40*AO40</f>
        <v>0</v>
      </c>
      <c r="K40" s="14">
        <f aca="true" t="shared" si="24" ref="K40:K49">G40*H40</f>
        <v>0</v>
      </c>
      <c r="L40" s="18"/>
      <c r="Y40" s="21">
        <f aca="true" t="shared" si="25" ref="Y40:Y49">IF(AP40="5",BI40,0)</f>
        <v>0</v>
      </c>
      <c r="AA40" s="21">
        <f aca="true" t="shared" si="26" ref="AA40:AA49">IF(AP40="1",BG40,0)</f>
        <v>0</v>
      </c>
      <c r="AB40" s="21">
        <f aca="true" t="shared" si="27" ref="AB40:AB49">IF(AP40="1",BH40,0)</f>
        <v>0</v>
      </c>
      <c r="AC40" s="21">
        <f aca="true" t="shared" si="28" ref="AC40:AC49">IF(AP40="7",BG40,0)</f>
        <v>0</v>
      </c>
      <c r="AD40" s="21">
        <f aca="true" t="shared" si="29" ref="AD40:AD49">IF(AP40="7",BH40,0)</f>
        <v>0</v>
      </c>
      <c r="AE40" s="21">
        <f aca="true" t="shared" si="30" ref="AE40:AE49">IF(AP40="2",BG40,0)</f>
        <v>0</v>
      </c>
      <c r="AF40" s="21">
        <f aca="true" t="shared" si="31" ref="AF40:AF49">IF(AP40="2",BH40,0)</f>
        <v>0</v>
      </c>
      <c r="AG40" s="21">
        <f aca="true" t="shared" si="32" ref="AG40:AG49">IF(AP40="0",BI40,0)</f>
        <v>0</v>
      </c>
      <c r="AH40" s="20" t="s">
        <v>320</v>
      </c>
      <c r="AI40" s="14">
        <f aca="true" t="shared" si="33" ref="AI40:AI49">IF(AM40=0,K40,0)</f>
        <v>0</v>
      </c>
      <c r="AJ40" s="14">
        <f aca="true" t="shared" si="34" ref="AJ40:AJ49">IF(AM40=15,K40,0)</f>
        <v>0</v>
      </c>
      <c r="AK40" s="14">
        <f aca="true" t="shared" si="35" ref="AK40:AK49">IF(AM40=21,K40,0)</f>
        <v>0</v>
      </c>
      <c r="AM40" s="21">
        <v>15</v>
      </c>
      <c r="AN40" s="21">
        <f>H40*0</f>
        <v>0</v>
      </c>
      <c r="AO40" s="21">
        <f>H40*(1-0)</f>
        <v>0</v>
      </c>
      <c r="AP40" s="22" t="s">
        <v>7</v>
      </c>
      <c r="AU40" s="21">
        <f aca="true" t="shared" si="36" ref="AU40:AU49">AV40+AW40</f>
        <v>0</v>
      </c>
      <c r="AV40" s="21">
        <f aca="true" t="shared" si="37" ref="AV40:AV49">G40*AN40</f>
        <v>0</v>
      </c>
      <c r="AW40" s="21">
        <f aca="true" t="shared" si="38" ref="AW40:AW49">G40*AO40</f>
        <v>0</v>
      </c>
      <c r="AX40" s="24" t="s">
        <v>334</v>
      </c>
      <c r="AY40" s="24" t="s">
        <v>350</v>
      </c>
      <c r="AZ40" s="20" t="s">
        <v>365</v>
      </c>
      <c r="BB40" s="21">
        <f aca="true" t="shared" si="39" ref="BB40:BB49">AV40+AW40</f>
        <v>0</v>
      </c>
      <c r="BC40" s="21">
        <f aca="true" t="shared" si="40" ref="BC40:BC49">H40/(100-BD40)*100</f>
        <v>0</v>
      </c>
      <c r="BD40" s="21">
        <v>0</v>
      </c>
      <c r="BE40" s="21">
        <f>40</f>
        <v>40</v>
      </c>
      <c r="BG40" s="14">
        <f aca="true" t="shared" si="41" ref="BG40:BG49">G40*AN40</f>
        <v>0</v>
      </c>
      <c r="BH40" s="14">
        <f aca="true" t="shared" si="42" ref="BH40:BH49">G40*AO40</f>
        <v>0</v>
      </c>
      <c r="BI40" s="14">
        <f aca="true" t="shared" si="43" ref="BI40:BI49">G40*H40</f>
        <v>0</v>
      </c>
      <c r="BJ40" s="14" t="s">
        <v>164</v>
      </c>
      <c r="BK40" s="21">
        <v>96</v>
      </c>
    </row>
    <row r="41" spans="1:63" ht="12.75">
      <c r="A41" s="3" t="s">
        <v>28</v>
      </c>
      <c r="B41" s="9" t="s">
        <v>113</v>
      </c>
      <c r="C41" s="139" t="s">
        <v>202</v>
      </c>
      <c r="D41" s="140"/>
      <c r="E41" s="140"/>
      <c r="F41" s="9" t="s">
        <v>291</v>
      </c>
      <c r="G41" s="14">
        <v>21.27</v>
      </c>
      <c r="H41" s="14">
        <v>0</v>
      </c>
      <c r="I41" s="14">
        <f t="shared" si="22"/>
        <v>0</v>
      </c>
      <c r="J41" s="14">
        <f t="shared" si="23"/>
        <v>0</v>
      </c>
      <c r="K41" s="14">
        <f t="shared" si="24"/>
        <v>0</v>
      </c>
      <c r="L41" s="18"/>
      <c r="Y41" s="21">
        <f t="shared" si="25"/>
        <v>0</v>
      </c>
      <c r="AA41" s="21">
        <f t="shared" si="26"/>
        <v>0</v>
      </c>
      <c r="AB41" s="21">
        <f t="shared" si="27"/>
        <v>0</v>
      </c>
      <c r="AC41" s="21">
        <f t="shared" si="28"/>
        <v>0</v>
      </c>
      <c r="AD41" s="21">
        <f t="shared" si="29"/>
        <v>0</v>
      </c>
      <c r="AE41" s="21">
        <f t="shared" si="30"/>
        <v>0</v>
      </c>
      <c r="AF41" s="21">
        <f t="shared" si="31"/>
        <v>0</v>
      </c>
      <c r="AG41" s="21">
        <f t="shared" si="32"/>
        <v>0</v>
      </c>
      <c r="AH41" s="20" t="s">
        <v>320</v>
      </c>
      <c r="AI41" s="14">
        <f t="shared" si="33"/>
        <v>0</v>
      </c>
      <c r="AJ41" s="14">
        <f t="shared" si="34"/>
        <v>0</v>
      </c>
      <c r="AK41" s="14">
        <f t="shared" si="35"/>
        <v>0</v>
      </c>
      <c r="AM41" s="21">
        <v>15</v>
      </c>
      <c r="AN41" s="21">
        <f>H41*0.0714456250148282</f>
        <v>0</v>
      </c>
      <c r="AO41" s="21">
        <f>H41*(1-0.0714456250148282)</f>
        <v>0</v>
      </c>
      <c r="AP41" s="22" t="s">
        <v>7</v>
      </c>
      <c r="AU41" s="21">
        <f t="shared" si="36"/>
        <v>0</v>
      </c>
      <c r="AV41" s="21">
        <f t="shared" si="37"/>
        <v>0</v>
      </c>
      <c r="AW41" s="21">
        <f t="shared" si="38"/>
        <v>0</v>
      </c>
      <c r="AX41" s="24" t="s">
        <v>334</v>
      </c>
      <c r="AY41" s="24" t="s">
        <v>350</v>
      </c>
      <c r="AZ41" s="20" t="s">
        <v>365</v>
      </c>
      <c r="BB41" s="21">
        <f t="shared" si="39"/>
        <v>0</v>
      </c>
      <c r="BC41" s="21">
        <f t="shared" si="40"/>
        <v>0</v>
      </c>
      <c r="BD41" s="21">
        <v>0</v>
      </c>
      <c r="BE41" s="21">
        <f>41</f>
        <v>41</v>
      </c>
      <c r="BG41" s="14">
        <f t="shared" si="41"/>
        <v>0</v>
      </c>
      <c r="BH41" s="14">
        <f t="shared" si="42"/>
        <v>0</v>
      </c>
      <c r="BI41" s="14">
        <f t="shared" si="43"/>
        <v>0</v>
      </c>
      <c r="BJ41" s="14" t="s">
        <v>164</v>
      </c>
      <c r="BK41" s="21">
        <v>96</v>
      </c>
    </row>
    <row r="42" spans="1:63" ht="12.75">
      <c r="A42" s="3" t="s">
        <v>29</v>
      </c>
      <c r="B42" s="9" t="s">
        <v>114</v>
      </c>
      <c r="C42" s="139" t="s">
        <v>203</v>
      </c>
      <c r="D42" s="140"/>
      <c r="E42" s="140"/>
      <c r="F42" s="9" t="s">
        <v>291</v>
      </c>
      <c r="G42" s="14">
        <v>99</v>
      </c>
      <c r="H42" s="14">
        <v>0</v>
      </c>
      <c r="I42" s="14">
        <f t="shared" si="22"/>
        <v>0</v>
      </c>
      <c r="J42" s="14">
        <f t="shared" si="23"/>
        <v>0</v>
      </c>
      <c r="K42" s="14">
        <f t="shared" si="24"/>
        <v>0</v>
      </c>
      <c r="L42" s="18"/>
      <c r="Y42" s="21">
        <f t="shared" si="25"/>
        <v>0</v>
      </c>
      <c r="AA42" s="21">
        <f t="shared" si="26"/>
        <v>0</v>
      </c>
      <c r="AB42" s="21">
        <f t="shared" si="27"/>
        <v>0</v>
      </c>
      <c r="AC42" s="21">
        <f t="shared" si="28"/>
        <v>0</v>
      </c>
      <c r="AD42" s="21">
        <f t="shared" si="29"/>
        <v>0</v>
      </c>
      <c r="AE42" s="21">
        <f t="shared" si="30"/>
        <v>0</v>
      </c>
      <c r="AF42" s="21">
        <f t="shared" si="31"/>
        <v>0</v>
      </c>
      <c r="AG42" s="21">
        <f t="shared" si="32"/>
        <v>0</v>
      </c>
      <c r="AH42" s="20" t="s">
        <v>320</v>
      </c>
      <c r="AI42" s="14">
        <f t="shared" si="33"/>
        <v>0</v>
      </c>
      <c r="AJ42" s="14">
        <f t="shared" si="34"/>
        <v>0</v>
      </c>
      <c r="AK42" s="14">
        <f t="shared" si="35"/>
        <v>0</v>
      </c>
      <c r="AM42" s="21">
        <v>15</v>
      </c>
      <c r="AN42" s="21">
        <f>H42*0</f>
        <v>0</v>
      </c>
      <c r="AO42" s="21">
        <f>H42*(1-0)</f>
        <v>0</v>
      </c>
      <c r="AP42" s="22" t="s">
        <v>7</v>
      </c>
      <c r="AU42" s="21">
        <f t="shared" si="36"/>
        <v>0</v>
      </c>
      <c r="AV42" s="21">
        <f t="shared" si="37"/>
        <v>0</v>
      </c>
      <c r="AW42" s="21">
        <f t="shared" si="38"/>
        <v>0</v>
      </c>
      <c r="AX42" s="24" t="s">
        <v>334</v>
      </c>
      <c r="AY42" s="24" t="s">
        <v>350</v>
      </c>
      <c r="AZ42" s="20" t="s">
        <v>365</v>
      </c>
      <c r="BB42" s="21">
        <f t="shared" si="39"/>
        <v>0</v>
      </c>
      <c r="BC42" s="21">
        <f t="shared" si="40"/>
        <v>0</v>
      </c>
      <c r="BD42" s="21">
        <v>0</v>
      </c>
      <c r="BE42" s="21">
        <f>42</f>
        <v>42</v>
      </c>
      <c r="BG42" s="14">
        <f t="shared" si="41"/>
        <v>0</v>
      </c>
      <c r="BH42" s="14">
        <f t="shared" si="42"/>
        <v>0</v>
      </c>
      <c r="BI42" s="14">
        <f t="shared" si="43"/>
        <v>0</v>
      </c>
      <c r="BJ42" s="14" t="s">
        <v>164</v>
      </c>
      <c r="BK42" s="21">
        <v>96</v>
      </c>
    </row>
    <row r="43" spans="1:63" ht="12.75">
      <c r="A43" s="3" t="s">
        <v>30</v>
      </c>
      <c r="B43" s="9" t="s">
        <v>115</v>
      </c>
      <c r="C43" s="139" t="s">
        <v>204</v>
      </c>
      <c r="D43" s="140"/>
      <c r="E43" s="140"/>
      <c r="F43" s="9" t="s">
        <v>291</v>
      </c>
      <c r="G43" s="14">
        <v>49.5</v>
      </c>
      <c r="H43" s="14">
        <v>0</v>
      </c>
      <c r="I43" s="14">
        <f t="shared" si="22"/>
        <v>0</v>
      </c>
      <c r="J43" s="14">
        <f t="shared" si="23"/>
        <v>0</v>
      </c>
      <c r="K43" s="14">
        <f t="shared" si="24"/>
        <v>0</v>
      </c>
      <c r="L43" s="18"/>
      <c r="Y43" s="21">
        <f t="shared" si="25"/>
        <v>0</v>
      </c>
      <c r="AA43" s="21">
        <f t="shared" si="26"/>
        <v>0</v>
      </c>
      <c r="AB43" s="21">
        <f t="shared" si="27"/>
        <v>0</v>
      </c>
      <c r="AC43" s="21">
        <f t="shared" si="28"/>
        <v>0</v>
      </c>
      <c r="AD43" s="21">
        <f t="shared" si="29"/>
        <v>0</v>
      </c>
      <c r="AE43" s="21">
        <f t="shared" si="30"/>
        <v>0</v>
      </c>
      <c r="AF43" s="21">
        <f t="shared" si="31"/>
        <v>0</v>
      </c>
      <c r="AG43" s="21">
        <f t="shared" si="32"/>
        <v>0</v>
      </c>
      <c r="AH43" s="20" t="s">
        <v>320</v>
      </c>
      <c r="AI43" s="14">
        <f t="shared" si="33"/>
        <v>0</v>
      </c>
      <c r="AJ43" s="14">
        <f t="shared" si="34"/>
        <v>0</v>
      </c>
      <c r="AK43" s="14">
        <f t="shared" si="35"/>
        <v>0</v>
      </c>
      <c r="AM43" s="21">
        <v>15</v>
      </c>
      <c r="AN43" s="21">
        <f>H43*0.188191881918819</f>
        <v>0</v>
      </c>
      <c r="AO43" s="21">
        <f>H43*(1-0.188191881918819)</f>
        <v>0</v>
      </c>
      <c r="AP43" s="22" t="s">
        <v>7</v>
      </c>
      <c r="AU43" s="21">
        <f t="shared" si="36"/>
        <v>0</v>
      </c>
      <c r="AV43" s="21">
        <f t="shared" si="37"/>
        <v>0</v>
      </c>
      <c r="AW43" s="21">
        <f t="shared" si="38"/>
        <v>0</v>
      </c>
      <c r="AX43" s="24" t="s">
        <v>334</v>
      </c>
      <c r="AY43" s="24" t="s">
        <v>350</v>
      </c>
      <c r="AZ43" s="20" t="s">
        <v>365</v>
      </c>
      <c r="BB43" s="21">
        <f t="shared" si="39"/>
        <v>0</v>
      </c>
      <c r="BC43" s="21">
        <f t="shared" si="40"/>
        <v>0</v>
      </c>
      <c r="BD43" s="21">
        <v>0</v>
      </c>
      <c r="BE43" s="21">
        <f>43</f>
        <v>43</v>
      </c>
      <c r="BG43" s="14">
        <f t="shared" si="41"/>
        <v>0</v>
      </c>
      <c r="BH43" s="14">
        <f t="shared" si="42"/>
        <v>0</v>
      </c>
      <c r="BI43" s="14">
        <f t="shared" si="43"/>
        <v>0</v>
      </c>
      <c r="BJ43" s="14" t="s">
        <v>164</v>
      </c>
      <c r="BK43" s="21">
        <v>96</v>
      </c>
    </row>
    <row r="44" spans="1:63" ht="12.75">
      <c r="A44" s="3" t="s">
        <v>31</v>
      </c>
      <c r="B44" s="9" t="s">
        <v>116</v>
      </c>
      <c r="C44" s="139" t="s">
        <v>205</v>
      </c>
      <c r="D44" s="140"/>
      <c r="E44" s="140"/>
      <c r="F44" s="9" t="s">
        <v>291</v>
      </c>
      <c r="G44" s="14">
        <v>1.2</v>
      </c>
      <c r="H44" s="14">
        <v>0</v>
      </c>
      <c r="I44" s="14">
        <f t="shared" si="22"/>
        <v>0</v>
      </c>
      <c r="J44" s="14">
        <f t="shared" si="23"/>
        <v>0</v>
      </c>
      <c r="K44" s="14">
        <f t="shared" si="24"/>
        <v>0</v>
      </c>
      <c r="L44" s="18"/>
      <c r="Y44" s="21">
        <f t="shared" si="25"/>
        <v>0</v>
      </c>
      <c r="AA44" s="21">
        <f t="shared" si="26"/>
        <v>0</v>
      </c>
      <c r="AB44" s="21">
        <f t="shared" si="27"/>
        <v>0</v>
      </c>
      <c r="AC44" s="21">
        <f t="shared" si="28"/>
        <v>0</v>
      </c>
      <c r="AD44" s="21">
        <f t="shared" si="29"/>
        <v>0</v>
      </c>
      <c r="AE44" s="21">
        <f t="shared" si="30"/>
        <v>0</v>
      </c>
      <c r="AF44" s="21">
        <f t="shared" si="31"/>
        <v>0</v>
      </c>
      <c r="AG44" s="21">
        <f t="shared" si="32"/>
        <v>0</v>
      </c>
      <c r="AH44" s="20" t="s">
        <v>320</v>
      </c>
      <c r="AI44" s="14">
        <f t="shared" si="33"/>
        <v>0</v>
      </c>
      <c r="AJ44" s="14">
        <f t="shared" si="34"/>
        <v>0</v>
      </c>
      <c r="AK44" s="14">
        <f t="shared" si="35"/>
        <v>0</v>
      </c>
      <c r="AM44" s="21">
        <v>15</v>
      </c>
      <c r="AN44" s="21">
        <f>H44*0.0435028248587571</f>
        <v>0</v>
      </c>
      <c r="AO44" s="21">
        <f>H44*(1-0.0435028248587571)</f>
        <v>0</v>
      </c>
      <c r="AP44" s="22" t="s">
        <v>7</v>
      </c>
      <c r="AU44" s="21">
        <f t="shared" si="36"/>
        <v>0</v>
      </c>
      <c r="AV44" s="21">
        <f t="shared" si="37"/>
        <v>0</v>
      </c>
      <c r="AW44" s="21">
        <f t="shared" si="38"/>
        <v>0</v>
      </c>
      <c r="AX44" s="24" t="s">
        <v>334</v>
      </c>
      <c r="AY44" s="24" t="s">
        <v>350</v>
      </c>
      <c r="AZ44" s="20" t="s">
        <v>365</v>
      </c>
      <c r="BB44" s="21">
        <f t="shared" si="39"/>
        <v>0</v>
      </c>
      <c r="BC44" s="21">
        <f t="shared" si="40"/>
        <v>0</v>
      </c>
      <c r="BD44" s="21">
        <v>0</v>
      </c>
      <c r="BE44" s="21">
        <f>44</f>
        <v>44</v>
      </c>
      <c r="BG44" s="14">
        <f t="shared" si="41"/>
        <v>0</v>
      </c>
      <c r="BH44" s="14">
        <f t="shared" si="42"/>
        <v>0</v>
      </c>
      <c r="BI44" s="14">
        <f t="shared" si="43"/>
        <v>0</v>
      </c>
      <c r="BJ44" s="14" t="s">
        <v>164</v>
      </c>
      <c r="BK44" s="21">
        <v>96</v>
      </c>
    </row>
    <row r="45" spans="1:63" ht="12.75">
      <c r="A45" s="3" t="s">
        <v>32</v>
      </c>
      <c r="B45" s="9" t="s">
        <v>117</v>
      </c>
      <c r="C45" s="139" t="s">
        <v>206</v>
      </c>
      <c r="D45" s="140"/>
      <c r="E45" s="140"/>
      <c r="F45" s="9" t="s">
        <v>291</v>
      </c>
      <c r="G45" s="14">
        <v>60.15</v>
      </c>
      <c r="H45" s="14">
        <v>0</v>
      </c>
      <c r="I45" s="14">
        <f t="shared" si="22"/>
        <v>0</v>
      </c>
      <c r="J45" s="14">
        <f t="shared" si="23"/>
        <v>0</v>
      </c>
      <c r="K45" s="14">
        <f t="shared" si="24"/>
        <v>0</v>
      </c>
      <c r="L45" s="18"/>
      <c r="Y45" s="21">
        <f t="shared" si="25"/>
        <v>0</v>
      </c>
      <c r="AA45" s="21">
        <f t="shared" si="26"/>
        <v>0</v>
      </c>
      <c r="AB45" s="21">
        <f t="shared" si="27"/>
        <v>0</v>
      </c>
      <c r="AC45" s="21">
        <f t="shared" si="28"/>
        <v>0</v>
      </c>
      <c r="AD45" s="21">
        <f t="shared" si="29"/>
        <v>0</v>
      </c>
      <c r="AE45" s="21">
        <f t="shared" si="30"/>
        <v>0</v>
      </c>
      <c r="AF45" s="21">
        <f t="shared" si="31"/>
        <v>0</v>
      </c>
      <c r="AG45" s="21">
        <f t="shared" si="32"/>
        <v>0</v>
      </c>
      <c r="AH45" s="20" t="s">
        <v>320</v>
      </c>
      <c r="AI45" s="14">
        <f t="shared" si="33"/>
        <v>0</v>
      </c>
      <c r="AJ45" s="14">
        <f t="shared" si="34"/>
        <v>0</v>
      </c>
      <c r="AK45" s="14">
        <f t="shared" si="35"/>
        <v>0</v>
      </c>
      <c r="AM45" s="21">
        <v>15</v>
      </c>
      <c r="AN45" s="21">
        <f>H45*0</f>
        <v>0</v>
      </c>
      <c r="AO45" s="21">
        <f>H45*(1-0)</f>
        <v>0</v>
      </c>
      <c r="AP45" s="22" t="s">
        <v>7</v>
      </c>
      <c r="AU45" s="21">
        <f t="shared" si="36"/>
        <v>0</v>
      </c>
      <c r="AV45" s="21">
        <f t="shared" si="37"/>
        <v>0</v>
      </c>
      <c r="AW45" s="21">
        <f t="shared" si="38"/>
        <v>0</v>
      </c>
      <c r="AX45" s="24" t="s">
        <v>334</v>
      </c>
      <c r="AY45" s="24" t="s">
        <v>350</v>
      </c>
      <c r="AZ45" s="20" t="s">
        <v>365</v>
      </c>
      <c r="BB45" s="21">
        <f t="shared" si="39"/>
        <v>0</v>
      </c>
      <c r="BC45" s="21">
        <f t="shared" si="40"/>
        <v>0</v>
      </c>
      <c r="BD45" s="21">
        <v>0</v>
      </c>
      <c r="BE45" s="21">
        <f>45</f>
        <v>45</v>
      </c>
      <c r="BG45" s="14">
        <f t="shared" si="41"/>
        <v>0</v>
      </c>
      <c r="BH45" s="14">
        <f t="shared" si="42"/>
        <v>0</v>
      </c>
      <c r="BI45" s="14">
        <f t="shared" si="43"/>
        <v>0</v>
      </c>
      <c r="BJ45" s="14" t="s">
        <v>164</v>
      </c>
      <c r="BK45" s="21">
        <v>96</v>
      </c>
    </row>
    <row r="46" spans="1:63" ht="12.75">
      <c r="A46" s="3" t="s">
        <v>33</v>
      </c>
      <c r="B46" s="9" t="s">
        <v>118</v>
      </c>
      <c r="C46" s="139" t="s">
        <v>207</v>
      </c>
      <c r="D46" s="140"/>
      <c r="E46" s="140"/>
      <c r="F46" s="9" t="s">
        <v>291</v>
      </c>
      <c r="G46" s="14">
        <v>32.76</v>
      </c>
      <c r="H46" s="14">
        <v>0</v>
      </c>
      <c r="I46" s="14">
        <f t="shared" si="22"/>
        <v>0</v>
      </c>
      <c r="J46" s="14">
        <f t="shared" si="23"/>
        <v>0</v>
      </c>
      <c r="K46" s="14">
        <f t="shared" si="24"/>
        <v>0</v>
      </c>
      <c r="L46" s="18"/>
      <c r="Y46" s="21">
        <f t="shared" si="25"/>
        <v>0</v>
      </c>
      <c r="AA46" s="21">
        <f t="shared" si="26"/>
        <v>0</v>
      </c>
      <c r="AB46" s="21">
        <f t="shared" si="27"/>
        <v>0</v>
      </c>
      <c r="AC46" s="21">
        <f t="shared" si="28"/>
        <v>0</v>
      </c>
      <c r="AD46" s="21">
        <f t="shared" si="29"/>
        <v>0</v>
      </c>
      <c r="AE46" s="21">
        <f t="shared" si="30"/>
        <v>0</v>
      </c>
      <c r="AF46" s="21">
        <f t="shared" si="31"/>
        <v>0</v>
      </c>
      <c r="AG46" s="21">
        <f t="shared" si="32"/>
        <v>0</v>
      </c>
      <c r="AH46" s="20" t="s">
        <v>320</v>
      </c>
      <c r="AI46" s="14">
        <f t="shared" si="33"/>
        <v>0</v>
      </c>
      <c r="AJ46" s="14">
        <f t="shared" si="34"/>
        <v>0</v>
      </c>
      <c r="AK46" s="14">
        <f t="shared" si="35"/>
        <v>0</v>
      </c>
      <c r="AM46" s="21">
        <v>15</v>
      </c>
      <c r="AN46" s="21">
        <f>H46*0</f>
        <v>0</v>
      </c>
      <c r="AO46" s="21">
        <f>H46*(1-0)</f>
        <v>0</v>
      </c>
      <c r="AP46" s="22" t="s">
        <v>7</v>
      </c>
      <c r="AU46" s="21">
        <f t="shared" si="36"/>
        <v>0</v>
      </c>
      <c r="AV46" s="21">
        <f t="shared" si="37"/>
        <v>0</v>
      </c>
      <c r="AW46" s="21">
        <f t="shared" si="38"/>
        <v>0</v>
      </c>
      <c r="AX46" s="24" t="s">
        <v>334</v>
      </c>
      <c r="AY46" s="24" t="s">
        <v>350</v>
      </c>
      <c r="AZ46" s="20" t="s">
        <v>365</v>
      </c>
      <c r="BB46" s="21">
        <f t="shared" si="39"/>
        <v>0</v>
      </c>
      <c r="BC46" s="21">
        <f t="shared" si="40"/>
        <v>0</v>
      </c>
      <c r="BD46" s="21">
        <v>0</v>
      </c>
      <c r="BE46" s="21">
        <f>46</f>
        <v>46</v>
      </c>
      <c r="BG46" s="14">
        <f t="shared" si="41"/>
        <v>0</v>
      </c>
      <c r="BH46" s="14">
        <f t="shared" si="42"/>
        <v>0</v>
      </c>
      <c r="BI46" s="14">
        <f t="shared" si="43"/>
        <v>0</v>
      </c>
      <c r="BJ46" s="14" t="s">
        <v>164</v>
      </c>
      <c r="BK46" s="21">
        <v>96</v>
      </c>
    </row>
    <row r="47" spans="1:63" ht="12.75">
      <c r="A47" s="3" t="s">
        <v>34</v>
      </c>
      <c r="B47" s="9" t="s">
        <v>119</v>
      </c>
      <c r="C47" s="139" t="s">
        <v>208</v>
      </c>
      <c r="D47" s="140"/>
      <c r="E47" s="140"/>
      <c r="F47" s="9" t="s">
        <v>292</v>
      </c>
      <c r="G47" s="14">
        <v>2.739</v>
      </c>
      <c r="H47" s="14">
        <v>0</v>
      </c>
      <c r="I47" s="14">
        <f t="shared" si="22"/>
        <v>0</v>
      </c>
      <c r="J47" s="14">
        <f t="shared" si="23"/>
        <v>0</v>
      </c>
      <c r="K47" s="14">
        <f t="shared" si="24"/>
        <v>0</v>
      </c>
      <c r="L47" s="18"/>
      <c r="Y47" s="21">
        <f t="shared" si="25"/>
        <v>0</v>
      </c>
      <c r="AA47" s="21">
        <f t="shared" si="26"/>
        <v>0</v>
      </c>
      <c r="AB47" s="21">
        <f t="shared" si="27"/>
        <v>0</v>
      </c>
      <c r="AC47" s="21">
        <f t="shared" si="28"/>
        <v>0</v>
      </c>
      <c r="AD47" s="21">
        <f t="shared" si="29"/>
        <v>0</v>
      </c>
      <c r="AE47" s="21">
        <f t="shared" si="30"/>
        <v>0</v>
      </c>
      <c r="AF47" s="21">
        <f t="shared" si="31"/>
        <v>0</v>
      </c>
      <c r="AG47" s="21">
        <f t="shared" si="32"/>
        <v>0</v>
      </c>
      <c r="AH47" s="20" t="s">
        <v>320</v>
      </c>
      <c r="AI47" s="14">
        <f t="shared" si="33"/>
        <v>0</v>
      </c>
      <c r="AJ47" s="14">
        <f t="shared" si="34"/>
        <v>0</v>
      </c>
      <c r="AK47" s="14">
        <f t="shared" si="35"/>
        <v>0</v>
      </c>
      <c r="AM47" s="21">
        <v>15</v>
      </c>
      <c r="AN47" s="21">
        <f>H47*0</f>
        <v>0</v>
      </c>
      <c r="AO47" s="21">
        <f>H47*(1-0)</f>
        <v>0</v>
      </c>
      <c r="AP47" s="22" t="s">
        <v>7</v>
      </c>
      <c r="AU47" s="21">
        <f t="shared" si="36"/>
        <v>0</v>
      </c>
      <c r="AV47" s="21">
        <f t="shared" si="37"/>
        <v>0</v>
      </c>
      <c r="AW47" s="21">
        <f t="shared" si="38"/>
        <v>0</v>
      </c>
      <c r="AX47" s="24" t="s">
        <v>334</v>
      </c>
      <c r="AY47" s="24" t="s">
        <v>350</v>
      </c>
      <c r="AZ47" s="20" t="s">
        <v>365</v>
      </c>
      <c r="BB47" s="21">
        <f t="shared" si="39"/>
        <v>0</v>
      </c>
      <c r="BC47" s="21">
        <f t="shared" si="40"/>
        <v>0</v>
      </c>
      <c r="BD47" s="21">
        <v>0</v>
      </c>
      <c r="BE47" s="21">
        <f>47</f>
        <v>47</v>
      </c>
      <c r="BG47" s="14">
        <f t="shared" si="41"/>
        <v>0</v>
      </c>
      <c r="BH47" s="14">
        <f t="shared" si="42"/>
        <v>0</v>
      </c>
      <c r="BI47" s="14">
        <f t="shared" si="43"/>
        <v>0</v>
      </c>
      <c r="BJ47" s="14" t="s">
        <v>164</v>
      </c>
      <c r="BK47" s="21">
        <v>96</v>
      </c>
    </row>
    <row r="48" spans="1:63" ht="12.75">
      <c r="A48" s="3" t="s">
        <v>35</v>
      </c>
      <c r="B48" s="9" t="s">
        <v>120</v>
      </c>
      <c r="C48" s="139" t="s">
        <v>209</v>
      </c>
      <c r="D48" s="140"/>
      <c r="E48" s="140"/>
      <c r="F48" s="9" t="s">
        <v>291</v>
      </c>
      <c r="G48" s="14">
        <v>0.15</v>
      </c>
      <c r="H48" s="14">
        <v>0</v>
      </c>
      <c r="I48" s="14">
        <f t="shared" si="22"/>
        <v>0</v>
      </c>
      <c r="J48" s="14">
        <f t="shared" si="23"/>
        <v>0</v>
      </c>
      <c r="K48" s="14">
        <f t="shared" si="24"/>
        <v>0</v>
      </c>
      <c r="L48" s="18"/>
      <c r="Y48" s="21">
        <f t="shared" si="25"/>
        <v>0</v>
      </c>
      <c r="AA48" s="21">
        <f t="shared" si="26"/>
        <v>0</v>
      </c>
      <c r="AB48" s="21">
        <f t="shared" si="27"/>
        <v>0</v>
      </c>
      <c r="AC48" s="21">
        <f t="shared" si="28"/>
        <v>0</v>
      </c>
      <c r="AD48" s="21">
        <f t="shared" si="29"/>
        <v>0</v>
      </c>
      <c r="AE48" s="21">
        <f t="shared" si="30"/>
        <v>0</v>
      </c>
      <c r="AF48" s="21">
        <f t="shared" si="31"/>
        <v>0</v>
      </c>
      <c r="AG48" s="21">
        <f t="shared" si="32"/>
        <v>0</v>
      </c>
      <c r="AH48" s="20" t="s">
        <v>320</v>
      </c>
      <c r="AI48" s="14">
        <f t="shared" si="33"/>
        <v>0</v>
      </c>
      <c r="AJ48" s="14">
        <f t="shared" si="34"/>
        <v>0</v>
      </c>
      <c r="AK48" s="14">
        <f t="shared" si="35"/>
        <v>0</v>
      </c>
      <c r="AM48" s="21">
        <v>15</v>
      </c>
      <c r="AN48" s="21">
        <f>H48*0.0309817596566524</f>
        <v>0</v>
      </c>
      <c r="AO48" s="21">
        <f>H48*(1-0.0309817596566524)</f>
        <v>0</v>
      </c>
      <c r="AP48" s="22" t="s">
        <v>7</v>
      </c>
      <c r="AU48" s="21">
        <f t="shared" si="36"/>
        <v>0</v>
      </c>
      <c r="AV48" s="21">
        <f t="shared" si="37"/>
        <v>0</v>
      </c>
      <c r="AW48" s="21">
        <f t="shared" si="38"/>
        <v>0</v>
      </c>
      <c r="AX48" s="24" t="s">
        <v>334</v>
      </c>
      <c r="AY48" s="24" t="s">
        <v>350</v>
      </c>
      <c r="AZ48" s="20" t="s">
        <v>365</v>
      </c>
      <c r="BB48" s="21">
        <f t="shared" si="39"/>
        <v>0</v>
      </c>
      <c r="BC48" s="21">
        <f t="shared" si="40"/>
        <v>0</v>
      </c>
      <c r="BD48" s="21">
        <v>0</v>
      </c>
      <c r="BE48" s="21">
        <f>48</f>
        <v>48</v>
      </c>
      <c r="BG48" s="14">
        <f t="shared" si="41"/>
        <v>0</v>
      </c>
      <c r="BH48" s="14">
        <f t="shared" si="42"/>
        <v>0</v>
      </c>
      <c r="BI48" s="14">
        <f t="shared" si="43"/>
        <v>0</v>
      </c>
      <c r="BJ48" s="14" t="s">
        <v>164</v>
      </c>
      <c r="BK48" s="21">
        <v>96</v>
      </c>
    </row>
    <row r="49" spans="1:63" ht="12.75">
      <c r="A49" s="3" t="s">
        <v>36</v>
      </c>
      <c r="B49" s="9" t="s">
        <v>121</v>
      </c>
      <c r="C49" s="139" t="s">
        <v>210</v>
      </c>
      <c r="D49" s="140"/>
      <c r="E49" s="140"/>
      <c r="F49" s="9" t="s">
        <v>292</v>
      </c>
      <c r="G49" s="14">
        <v>0.15</v>
      </c>
      <c r="H49" s="14">
        <v>0</v>
      </c>
      <c r="I49" s="14">
        <f t="shared" si="22"/>
        <v>0</v>
      </c>
      <c r="J49" s="14">
        <f t="shared" si="23"/>
        <v>0</v>
      </c>
      <c r="K49" s="14">
        <f t="shared" si="24"/>
        <v>0</v>
      </c>
      <c r="L49" s="18"/>
      <c r="Y49" s="21">
        <f t="shared" si="25"/>
        <v>0</v>
      </c>
      <c r="AA49" s="21">
        <f t="shared" si="26"/>
        <v>0</v>
      </c>
      <c r="AB49" s="21">
        <f t="shared" si="27"/>
        <v>0</v>
      </c>
      <c r="AC49" s="21">
        <f t="shared" si="28"/>
        <v>0</v>
      </c>
      <c r="AD49" s="21">
        <f t="shared" si="29"/>
        <v>0</v>
      </c>
      <c r="AE49" s="21">
        <f t="shared" si="30"/>
        <v>0</v>
      </c>
      <c r="AF49" s="21">
        <f t="shared" si="31"/>
        <v>0</v>
      </c>
      <c r="AG49" s="21">
        <f t="shared" si="32"/>
        <v>0</v>
      </c>
      <c r="AH49" s="20" t="s">
        <v>320</v>
      </c>
      <c r="AI49" s="14">
        <f t="shared" si="33"/>
        <v>0</v>
      </c>
      <c r="AJ49" s="14">
        <f t="shared" si="34"/>
        <v>0</v>
      </c>
      <c r="AK49" s="14">
        <f t="shared" si="35"/>
        <v>0</v>
      </c>
      <c r="AM49" s="21">
        <v>15</v>
      </c>
      <c r="AN49" s="21">
        <f>H49*0</f>
        <v>0</v>
      </c>
      <c r="AO49" s="21">
        <f>H49*(1-0)</f>
        <v>0</v>
      </c>
      <c r="AP49" s="22" t="s">
        <v>7</v>
      </c>
      <c r="AU49" s="21">
        <f t="shared" si="36"/>
        <v>0</v>
      </c>
      <c r="AV49" s="21">
        <f t="shared" si="37"/>
        <v>0</v>
      </c>
      <c r="AW49" s="21">
        <f t="shared" si="38"/>
        <v>0</v>
      </c>
      <c r="AX49" s="24" t="s">
        <v>334</v>
      </c>
      <c r="AY49" s="24" t="s">
        <v>350</v>
      </c>
      <c r="AZ49" s="20" t="s">
        <v>365</v>
      </c>
      <c r="BB49" s="21">
        <f t="shared" si="39"/>
        <v>0</v>
      </c>
      <c r="BC49" s="21">
        <f t="shared" si="40"/>
        <v>0</v>
      </c>
      <c r="BD49" s="21">
        <v>0</v>
      </c>
      <c r="BE49" s="21">
        <f>49</f>
        <v>49</v>
      </c>
      <c r="BG49" s="14">
        <f t="shared" si="41"/>
        <v>0</v>
      </c>
      <c r="BH49" s="14">
        <f t="shared" si="42"/>
        <v>0</v>
      </c>
      <c r="BI49" s="14">
        <f t="shared" si="43"/>
        <v>0</v>
      </c>
      <c r="BJ49" s="14" t="s">
        <v>164</v>
      </c>
      <c r="BK49" s="21">
        <v>96</v>
      </c>
    </row>
    <row r="50" spans="1:12" ht="12.75">
      <c r="A50" s="65"/>
      <c r="B50" s="66"/>
      <c r="C50" s="143" t="s">
        <v>211</v>
      </c>
      <c r="D50" s="144"/>
      <c r="E50" s="145"/>
      <c r="F50" s="65" t="s">
        <v>6</v>
      </c>
      <c r="G50" s="65" t="s">
        <v>6</v>
      </c>
      <c r="H50" s="65" t="s">
        <v>6</v>
      </c>
      <c r="I50" s="67">
        <f>I51+I53</f>
        <v>0</v>
      </c>
      <c r="J50" s="67">
        <f>J51+J53</f>
        <v>0</v>
      </c>
      <c r="K50" s="67">
        <f>K51+K53</f>
        <v>0</v>
      </c>
      <c r="L50" s="61"/>
    </row>
    <row r="51" spans="1:46" ht="12.75">
      <c r="A51" s="2"/>
      <c r="B51" s="8" t="s">
        <v>106</v>
      </c>
      <c r="C51" s="137" t="s">
        <v>195</v>
      </c>
      <c r="D51" s="138"/>
      <c r="E51" s="138"/>
      <c r="F51" s="12" t="s">
        <v>6</v>
      </c>
      <c r="G51" s="12" t="s">
        <v>6</v>
      </c>
      <c r="H51" s="12" t="s">
        <v>6</v>
      </c>
      <c r="I51" s="26">
        <f>SUM(I52:I52)</f>
        <v>0</v>
      </c>
      <c r="J51" s="26">
        <f>SUM(J52:J52)</f>
        <v>0</v>
      </c>
      <c r="K51" s="26">
        <f>SUM(K52:K52)</f>
        <v>0</v>
      </c>
      <c r="L51" s="18"/>
      <c r="AH51" s="20" t="s">
        <v>321</v>
      </c>
      <c r="AR51" s="26">
        <f>SUM(AI52:AI52)</f>
        <v>0</v>
      </c>
      <c r="AS51" s="26">
        <f>SUM(AJ52:AJ52)</f>
        <v>0</v>
      </c>
      <c r="AT51" s="26">
        <f>SUM(AK52:AK52)</f>
        <v>0</v>
      </c>
    </row>
    <row r="52" spans="1:63" ht="12.75">
      <c r="A52" s="3" t="s">
        <v>37</v>
      </c>
      <c r="B52" s="9" t="s">
        <v>122</v>
      </c>
      <c r="C52" s="139" t="s">
        <v>212</v>
      </c>
      <c r="D52" s="140"/>
      <c r="E52" s="140"/>
      <c r="F52" s="9" t="s">
        <v>293</v>
      </c>
      <c r="G52" s="14">
        <v>24</v>
      </c>
      <c r="H52" s="14">
        <v>0</v>
      </c>
      <c r="I52" s="14">
        <f>G52*AN52</f>
        <v>0</v>
      </c>
      <c r="J52" s="14">
        <f>G52*AO52</f>
        <v>0</v>
      </c>
      <c r="K52" s="14">
        <f>G52*H52</f>
        <v>0</v>
      </c>
      <c r="L52" s="18"/>
      <c r="Y52" s="21">
        <f>IF(AP52="5",BI52,0)</f>
        <v>0</v>
      </c>
      <c r="AA52" s="21">
        <f>IF(AP52="1",BG52,0)</f>
        <v>0</v>
      </c>
      <c r="AB52" s="21">
        <f>IF(AP52="1",BH52,0)</f>
        <v>0</v>
      </c>
      <c r="AC52" s="21">
        <f>IF(AP52="7",BG52,0)</f>
        <v>0</v>
      </c>
      <c r="AD52" s="21">
        <f>IF(AP52="7",BH52,0)</f>
        <v>0</v>
      </c>
      <c r="AE52" s="21">
        <f>IF(AP52="2",BG52,0)</f>
        <v>0</v>
      </c>
      <c r="AF52" s="21">
        <f>IF(AP52="2",BH52,0)</f>
        <v>0</v>
      </c>
      <c r="AG52" s="21">
        <f>IF(AP52="0",BI52,0)</f>
        <v>0</v>
      </c>
      <c r="AH52" s="20" t="s">
        <v>321</v>
      </c>
      <c r="AI52" s="14">
        <f>IF(AM52=0,K52,0)</f>
        <v>0</v>
      </c>
      <c r="AJ52" s="14">
        <f>IF(AM52=15,K52,0)</f>
        <v>0</v>
      </c>
      <c r="AK52" s="14">
        <f>IF(AM52=21,K52,0)</f>
        <v>0</v>
      </c>
      <c r="AM52" s="21">
        <v>15</v>
      </c>
      <c r="AN52" s="21">
        <f>H52*0.330587378826775</f>
        <v>0</v>
      </c>
      <c r="AO52" s="21">
        <f>H52*(1-0.330587378826775)</f>
        <v>0</v>
      </c>
      <c r="AP52" s="22" t="s">
        <v>13</v>
      </c>
      <c r="AU52" s="21">
        <f>AV52+AW52</f>
        <v>0</v>
      </c>
      <c r="AV52" s="21">
        <f>G52*AN52</f>
        <v>0</v>
      </c>
      <c r="AW52" s="21">
        <f>G52*AO52</f>
        <v>0</v>
      </c>
      <c r="AX52" s="24" t="s">
        <v>332</v>
      </c>
      <c r="AY52" s="24" t="s">
        <v>351</v>
      </c>
      <c r="AZ52" s="20" t="s">
        <v>366</v>
      </c>
      <c r="BB52" s="21">
        <f>AV52+AW52</f>
        <v>0</v>
      </c>
      <c r="BC52" s="21">
        <f>H52/(100-BD52)*100</f>
        <v>0</v>
      </c>
      <c r="BD52" s="21">
        <v>0</v>
      </c>
      <c r="BE52" s="21">
        <f>52</f>
        <v>52</v>
      </c>
      <c r="BG52" s="14">
        <f>G52*AN52</f>
        <v>0</v>
      </c>
      <c r="BH52" s="14">
        <f>G52*AO52</f>
        <v>0</v>
      </c>
      <c r="BI52" s="14">
        <f>G52*H52</f>
        <v>0</v>
      </c>
      <c r="BJ52" s="14" t="s">
        <v>164</v>
      </c>
      <c r="BK52" s="21">
        <v>721</v>
      </c>
    </row>
    <row r="53" spans="1:46" ht="12.75">
      <c r="A53" s="2"/>
      <c r="B53" s="8" t="s">
        <v>87</v>
      </c>
      <c r="C53" s="137" t="s">
        <v>175</v>
      </c>
      <c r="D53" s="138"/>
      <c r="E53" s="138"/>
      <c r="F53" s="12" t="s">
        <v>6</v>
      </c>
      <c r="G53" s="12" t="s">
        <v>6</v>
      </c>
      <c r="H53" s="12" t="s">
        <v>6</v>
      </c>
      <c r="I53" s="26">
        <f>SUM(I54:I57)</f>
        <v>0</v>
      </c>
      <c r="J53" s="26">
        <f>SUM(J54:J57)</f>
        <v>0</v>
      </c>
      <c r="K53" s="26">
        <f>SUM(K54:K57)</f>
        <v>0</v>
      </c>
      <c r="L53" s="18"/>
      <c r="AH53" s="20" t="s">
        <v>321</v>
      </c>
      <c r="AR53" s="26">
        <f>SUM(AI54:AI57)</f>
        <v>0</v>
      </c>
      <c r="AS53" s="26">
        <f>SUM(AJ54:AJ57)</f>
        <v>0</v>
      </c>
      <c r="AT53" s="26">
        <f>SUM(AK54:AK57)</f>
        <v>0</v>
      </c>
    </row>
    <row r="54" spans="1:63" ht="12.75">
      <c r="A54" s="3" t="s">
        <v>38</v>
      </c>
      <c r="B54" s="9" t="s">
        <v>123</v>
      </c>
      <c r="C54" s="139" t="s">
        <v>213</v>
      </c>
      <c r="D54" s="140"/>
      <c r="E54" s="140"/>
      <c r="F54" s="9" t="s">
        <v>288</v>
      </c>
      <c r="G54" s="14">
        <v>6</v>
      </c>
      <c r="H54" s="14">
        <v>0</v>
      </c>
      <c r="I54" s="14">
        <f>G54*AN54</f>
        <v>0</v>
      </c>
      <c r="J54" s="14">
        <f>G54*AO54</f>
        <v>0</v>
      </c>
      <c r="K54" s="14">
        <f>G54*H54</f>
        <v>0</v>
      </c>
      <c r="L54" s="18"/>
      <c r="Y54" s="21">
        <f>IF(AP54="5",BI54,0)</f>
        <v>0</v>
      </c>
      <c r="AA54" s="21">
        <f>IF(AP54="1",BG54,0)</f>
        <v>0</v>
      </c>
      <c r="AB54" s="21">
        <f>IF(AP54="1",BH54,0)</f>
        <v>0</v>
      </c>
      <c r="AC54" s="21">
        <f>IF(AP54="7",BG54,0)</f>
        <v>0</v>
      </c>
      <c r="AD54" s="21">
        <f>IF(AP54="7",BH54,0)</f>
        <v>0</v>
      </c>
      <c r="AE54" s="21">
        <f>IF(AP54="2",BG54,0)</f>
        <v>0</v>
      </c>
      <c r="AF54" s="21">
        <f>IF(AP54="2",BH54,0)</f>
        <v>0</v>
      </c>
      <c r="AG54" s="21">
        <f>IF(AP54="0",BI54,0)</f>
        <v>0</v>
      </c>
      <c r="AH54" s="20" t="s">
        <v>321</v>
      </c>
      <c r="AI54" s="14">
        <f>IF(AM54=0,K54,0)</f>
        <v>0</v>
      </c>
      <c r="AJ54" s="14">
        <f>IF(AM54=15,K54,0)</f>
        <v>0</v>
      </c>
      <c r="AK54" s="14">
        <f>IF(AM54=21,K54,0)</f>
        <v>0</v>
      </c>
      <c r="AM54" s="21">
        <v>15</v>
      </c>
      <c r="AN54" s="21">
        <f>H54*0.308042646254784</f>
        <v>0</v>
      </c>
      <c r="AO54" s="21">
        <f>H54*(1-0.308042646254784)</f>
        <v>0</v>
      </c>
      <c r="AP54" s="22" t="s">
        <v>13</v>
      </c>
      <c r="AU54" s="21">
        <f>AV54+AW54</f>
        <v>0</v>
      </c>
      <c r="AV54" s="21">
        <f>G54*AN54</f>
        <v>0</v>
      </c>
      <c r="AW54" s="21">
        <f>G54*AO54</f>
        <v>0</v>
      </c>
      <c r="AX54" s="24" t="s">
        <v>330</v>
      </c>
      <c r="AY54" s="24" t="s">
        <v>351</v>
      </c>
      <c r="AZ54" s="20" t="s">
        <v>366</v>
      </c>
      <c r="BB54" s="21">
        <f>AV54+AW54</f>
        <v>0</v>
      </c>
      <c r="BC54" s="21">
        <f>H54/(100-BD54)*100</f>
        <v>0</v>
      </c>
      <c r="BD54" s="21">
        <v>0</v>
      </c>
      <c r="BE54" s="21">
        <f>54</f>
        <v>54</v>
      </c>
      <c r="BG54" s="14">
        <f>G54*AN54</f>
        <v>0</v>
      </c>
      <c r="BH54" s="14">
        <f>G54*AO54</f>
        <v>0</v>
      </c>
      <c r="BI54" s="14">
        <f>G54*H54</f>
        <v>0</v>
      </c>
      <c r="BJ54" s="14" t="s">
        <v>164</v>
      </c>
      <c r="BK54" s="21">
        <v>725</v>
      </c>
    </row>
    <row r="55" spans="1:63" ht="12.75">
      <c r="A55" s="62" t="s">
        <v>39</v>
      </c>
      <c r="B55" s="63" t="s">
        <v>124</v>
      </c>
      <c r="C55" s="141" t="s">
        <v>214</v>
      </c>
      <c r="D55" s="142"/>
      <c r="E55" s="142"/>
      <c r="F55" s="63" t="s">
        <v>289</v>
      </c>
      <c r="G55" s="64">
        <v>6</v>
      </c>
      <c r="H55" s="64">
        <v>0</v>
      </c>
      <c r="I55" s="64">
        <f>G55*AN55</f>
        <v>0</v>
      </c>
      <c r="J55" s="64">
        <f>G55*AO55</f>
        <v>0</v>
      </c>
      <c r="K55" s="64">
        <f>G55*H55</f>
        <v>0</v>
      </c>
      <c r="L55" s="18"/>
      <c r="Y55" s="21">
        <f>IF(AP55="5",BI55,0)</f>
        <v>0</v>
      </c>
      <c r="AA55" s="21">
        <f>IF(AP55="1",BG55,0)</f>
        <v>0</v>
      </c>
      <c r="AB55" s="21">
        <f>IF(AP55="1",BH55,0)</f>
        <v>0</v>
      </c>
      <c r="AC55" s="21">
        <f>IF(AP55="7",BG55,0)</f>
        <v>0</v>
      </c>
      <c r="AD55" s="21">
        <f>IF(AP55="7",BH55,0)</f>
        <v>0</v>
      </c>
      <c r="AE55" s="21">
        <f>IF(AP55="2",BG55,0)</f>
        <v>0</v>
      </c>
      <c r="AF55" s="21">
        <f>IF(AP55="2",BH55,0)</f>
        <v>0</v>
      </c>
      <c r="AG55" s="21">
        <f>IF(AP55="0",BI55,0)</f>
        <v>0</v>
      </c>
      <c r="AH55" s="20" t="s">
        <v>321</v>
      </c>
      <c r="AI55" s="15">
        <f>IF(AM55=0,K55,0)</f>
        <v>0</v>
      </c>
      <c r="AJ55" s="15">
        <f>IF(AM55=15,K55,0)</f>
        <v>0</v>
      </c>
      <c r="AK55" s="15">
        <f>IF(AM55=21,K55,0)</f>
        <v>0</v>
      </c>
      <c r="AM55" s="21">
        <v>15</v>
      </c>
      <c r="AN55" s="21">
        <f>H55*1</f>
        <v>0</v>
      </c>
      <c r="AO55" s="21">
        <f>H55*(1-1)</f>
        <v>0</v>
      </c>
      <c r="AP55" s="23" t="s">
        <v>13</v>
      </c>
      <c r="AU55" s="21">
        <f>AV55+AW55</f>
        <v>0</v>
      </c>
      <c r="AV55" s="21">
        <f>G55*AN55</f>
        <v>0</v>
      </c>
      <c r="AW55" s="21">
        <f>G55*AO55</f>
        <v>0</v>
      </c>
      <c r="AX55" s="24" t="s">
        <v>330</v>
      </c>
      <c r="AY55" s="24" t="s">
        <v>351</v>
      </c>
      <c r="AZ55" s="20" t="s">
        <v>366</v>
      </c>
      <c r="BB55" s="21">
        <f>AV55+AW55</f>
        <v>0</v>
      </c>
      <c r="BC55" s="21">
        <f>H55/(100-BD55)*100</f>
        <v>0</v>
      </c>
      <c r="BD55" s="21">
        <v>0</v>
      </c>
      <c r="BE55" s="21">
        <f>55</f>
        <v>55</v>
      </c>
      <c r="BG55" s="15">
        <f>G55*AN55</f>
        <v>0</v>
      </c>
      <c r="BH55" s="15">
        <f>G55*AO55</f>
        <v>0</v>
      </c>
      <c r="BI55" s="15">
        <f>G55*H55</f>
        <v>0</v>
      </c>
      <c r="BJ55" s="15" t="s">
        <v>379</v>
      </c>
      <c r="BK55" s="21">
        <v>725</v>
      </c>
    </row>
    <row r="56" spans="1:63" ht="12.75">
      <c r="A56" s="3" t="s">
        <v>40</v>
      </c>
      <c r="B56" s="9" t="s">
        <v>125</v>
      </c>
      <c r="C56" s="139" t="s">
        <v>215</v>
      </c>
      <c r="D56" s="140"/>
      <c r="E56" s="140"/>
      <c r="F56" s="9" t="s">
        <v>288</v>
      </c>
      <c r="G56" s="14">
        <v>3</v>
      </c>
      <c r="H56" s="14">
        <v>0</v>
      </c>
      <c r="I56" s="14">
        <f>G56*AN56</f>
        <v>0</v>
      </c>
      <c r="J56" s="14">
        <f>G56*AO56</f>
        <v>0</v>
      </c>
      <c r="K56" s="14">
        <f>G56*H56</f>
        <v>0</v>
      </c>
      <c r="L56" s="18"/>
      <c r="Y56" s="21">
        <f>IF(AP56="5",BI56,0)</f>
        <v>0</v>
      </c>
      <c r="AA56" s="21">
        <f>IF(AP56="1",BG56,0)</f>
        <v>0</v>
      </c>
      <c r="AB56" s="21">
        <f>IF(AP56="1",BH56,0)</f>
        <v>0</v>
      </c>
      <c r="AC56" s="21">
        <f>IF(AP56="7",BG56,0)</f>
        <v>0</v>
      </c>
      <c r="AD56" s="21">
        <f>IF(AP56="7",BH56,0)</f>
        <v>0</v>
      </c>
      <c r="AE56" s="21">
        <f>IF(AP56="2",BG56,0)</f>
        <v>0</v>
      </c>
      <c r="AF56" s="21">
        <f>IF(AP56="2",BH56,0)</f>
        <v>0</v>
      </c>
      <c r="AG56" s="21">
        <f>IF(AP56="0",BI56,0)</f>
        <v>0</v>
      </c>
      <c r="AH56" s="20" t="s">
        <v>321</v>
      </c>
      <c r="AI56" s="14">
        <f>IF(AM56=0,K56,0)</f>
        <v>0</v>
      </c>
      <c r="AJ56" s="14">
        <f>IF(AM56=15,K56,0)</f>
        <v>0</v>
      </c>
      <c r="AK56" s="14">
        <f>IF(AM56=21,K56,0)</f>
        <v>0</v>
      </c>
      <c r="AM56" s="21">
        <v>15</v>
      </c>
      <c r="AN56" s="21">
        <f>H56*0.0490026954177898</f>
        <v>0</v>
      </c>
      <c r="AO56" s="21">
        <f>H56*(1-0.0490026954177898)</f>
        <v>0</v>
      </c>
      <c r="AP56" s="22" t="s">
        <v>13</v>
      </c>
      <c r="AU56" s="21">
        <f>AV56+AW56</f>
        <v>0</v>
      </c>
      <c r="AV56" s="21">
        <f>G56*AN56</f>
        <v>0</v>
      </c>
      <c r="AW56" s="21">
        <f>G56*AO56</f>
        <v>0</v>
      </c>
      <c r="AX56" s="24" t="s">
        <v>330</v>
      </c>
      <c r="AY56" s="24" t="s">
        <v>351</v>
      </c>
      <c r="AZ56" s="20" t="s">
        <v>366</v>
      </c>
      <c r="BB56" s="21">
        <f>AV56+AW56</f>
        <v>0</v>
      </c>
      <c r="BC56" s="21">
        <f>H56/(100-BD56)*100</f>
        <v>0</v>
      </c>
      <c r="BD56" s="21">
        <v>0</v>
      </c>
      <c r="BE56" s="21">
        <f>56</f>
        <v>56</v>
      </c>
      <c r="BG56" s="14">
        <f>G56*AN56</f>
        <v>0</v>
      </c>
      <c r="BH56" s="14">
        <f>G56*AO56</f>
        <v>0</v>
      </c>
      <c r="BI56" s="14">
        <f>G56*H56</f>
        <v>0</v>
      </c>
      <c r="BJ56" s="14" t="s">
        <v>164</v>
      </c>
      <c r="BK56" s="21">
        <v>725</v>
      </c>
    </row>
    <row r="57" spans="1:63" ht="12.75">
      <c r="A57" s="62" t="s">
        <v>41</v>
      </c>
      <c r="B57" s="63" t="s">
        <v>126</v>
      </c>
      <c r="C57" s="141" t="s">
        <v>216</v>
      </c>
      <c r="D57" s="140"/>
      <c r="E57" s="140"/>
      <c r="F57" s="63" t="s">
        <v>289</v>
      </c>
      <c r="G57" s="64">
        <v>3</v>
      </c>
      <c r="H57" s="64">
        <v>0</v>
      </c>
      <c r="I57" s="64">
        <f>G57*AN57</f>
        <v>0</v>
      </c>
      <c r="J57" s="64">
        <f>G57*AO57</f>
        <v>0</v>
      </c>
      <c r="K57" s="64">
        <f>G57*H57</f>
        <v>0</v>
      </c>
      <c r="L57" s="18"/>
      <c r="Y57" s="21">
        <f>IF(AP57="5",BI57,0)</f>
        <v>0</v>
      </c>
      <c r="AA57" s="21">
        <f>IF(AP57="1",BG57,0)</f>
        <v>0</v>
      </c>
      <c r="AB57" s="21">
        <f>IF(AP57="1",BH57,0)</f>
        <v>0</v>
      </c>
      <c r="AC57" s="21">
        <f>IF(AP57="7",BG57,0)</f>
        <v>0</v>
      </c>
      <c r="AD57" s="21">
        <f>IF(AP57="7",BH57,0)</f>
        <v>0</v>
      </c>
      <c r="AE57" s="21">
        <f>IF(AP57="2",BG57,0)</f>
        <v>0</v>
      </c>
      <c r="AF57" s="21">
        <f>IF(AP57="2",BH57,0)</f>
        <v>0</v>
      </c>
      <c r="AG57" s="21">
        <f>IF(AP57="0",BI57,0)</f>
        <v>0</v>
      </c>
      <c r="AH57" s="20" t="s">
        <v>321</v>
      </c>
      <c r="AI57" s="14">
        <f>IF(AM57=0,K57,0)</f>
        <v>0</v>
      </c>
      <c r="AJ57" s="14">
        <f>IF(AM57=15,K57,0)</f>
        <v>0</v>
      </c>
      <c r="AK57" s="14">
        <f>IF(AM57=21,K57,0)</f>
        <v>0</v>
      </c>
      <c r="AM57" s="21">
        <v>15</v>
      </c>
      <c r="AN57" s="21">
        <f>H57*0.952295285359801</f>
        <v>0</v>
      </c>
      <c r="AO57" s="21">
        <f>H57*(1-0.952295285359801)</f>
        <v>0</v>
      </c>
      <c r="AP57" s="22" t="s">
        <v>13</v>
      </c>
      <c r="AU57" s="21">
        <f>AV57+AW57</f>
        <v>0</v>
      </c>
      <c r="AV57" s="21">
        <f>G57*AN57</f>
        <v>0</v>
      </c>
      <c r="AW57" s="21">
        <f>G57*AO57</f>
        <v>0</v>
      </c>
      <c r="AX57" s="24" t="s">
        <v>330</v>
      </c>
      <c r="AY57" s="24" t="s">
        <v>351</v>
      </c>
      <c r="AZ57" s="20" t="s">
        <v>366</v>
      </c>
      <c r="BB57" s="21">
        <f>AV57+AW57</f>
        <v>0</v>
      </c>
      <c r="BC57" s="21">
        <f>H57/(100-BD57)*100</f>
        <v>0</v>
      </c>
      <c r="BD57" s="21">
        <v>0</v>
      </c>
      <c r="BE57" s="21">
        <f>57</f>
        <v>57</v>
      </c>
      <c r="BG57" s="14">
        <f>G57*AN57</f>
        <v>0</v>
      </c>
      <c r="BH57" s="14">
        <f>G57*AO57</f>
        <v>0</v>
      </c>
      <c r="BI57" s="14">
        <f>G57*H57</f>
        <v>0</v>
      </c>
      <c r="BJ57" s="14" t="s">
        <v>164</v>
      </c>
      <c r="BK57" s="21">
        <v>725</v>
      </c>
    </row>
    <row r="58" spans="1:12" ht="12.75">
      <c r="A58" s="65"/>
      <c r="B58" s="66"/>
      <c r="C58" s="143" t="s">
        <v>217</v>
      </c>
      <c r="D58" s="144"/>
      <c r="E58" s="145"/>
      <c r="F58" s="65" t="s">
        <v>6</v>
      </c>
      <c r="G58" s="65" t="s">
        <v>6</v>
      </c>
      <c r="H58" s="65" t="s">
        <v>6</v>
      </c>
      <c r="I58" s="67">
        <f>I59+I61+I63+I65</f>
        <v>0</v>
      </c>
      <c r="J58" s="67">
        <f>J59+J61+J63+J65</f>
        <v>0</v>
      </c>
      <c r="K58" s="67">
        <f>K59+K61+K63+K65</f>
        <v>0</v>
      </c>
      <c r="L58" s="61"/>
    </row>
    <row r="59" spans="1:46" ht="12.75">
      <c r="A59" s="2"/>
      <c r="B59" s="8" t="s">
        <v>40</v>
      </c>
      <c r="C59" s="137" t="s">
        <v>218</v>
      </c>
      <c r="D59" s="138"/>
      <c r="E59" s="138"/>
      <c r="F59" s="12" t="s">
        <v>6</v>
      </c>
      <c r="G59" s="12" t="s">
        <v>6</v>
      </c>
      <c r="H59" s="12" t="s">
        <v>6</v>
      </c>
      <c r="I59" s="26">
        <f>SUM(I60:I60)</f>
        <v>0</v>
      </c>
      <c r="J59" s="26">
        <f>SUM(J60:J60)</f>
        <v>0</v>
      </c>
      <c r="K59" s="26">
        <f>SUM(K60:K60)</f>
        <v>0</v>
      </c>
      <c r="L59" s="18"/>
      <c r="AH59" s="20" t="s">
        <v>322</v>
      </c>
      <c r="AR59" s="26">
        <f>SUM(AI60:AI60)</f>
        <v>0</v>
      </c>
      <c r="AS59" s="26">
        <f>SUM(AJ60:AJ60)</f>
        <v>0</v>
      </c>
      <c r="AT59" s="26">
        <f>SUM(AK60:AK60)</f>
        <v>0</v>
      </c>
    </row>
    <row r="60" spans="1:63" ht="12.75">
      <c r="A60" s="3" t="s">
        <v>42</v>
      </c>
      <c r="B60" s="9" t="s">
        <v>127</v>
      </c>
      <c r="C60" s="139" t="s">
        <v>219</v>
      </c>
      <c r="D60" s="140"/>
      <c r="E60" s="140"/>
      <c r="F60" s="9" t="s">
        <v>291</v>
      </c>
      <c r="G60" s="14">
        <v>1.2</v>
      </c>
      <c r="H60" s="14">
        <v>0</v>
      </c>
      <c r="I60" s="14">
        <f>G60*AN60</f>
        <v>0</v>
      </c>
      <c r="J60" s="14">
        <f>G60*AO60</f>
        <v>0</v>
      </c>
      <c r="K60" s="14">
        <f>G60*H60</f>
        <v>0</v>
      </c>
      <c r="L60" s="18"/>
      <c r="Y60" s="21">
        <f>IF(AP60="5",BI60,0)</f>
        <v>0</v>
      </c>
      <c r="AA60" s="21">
        <f>IF(AP60="1",BG60,0)</f>
        <v>0</v>
      </c>
      <c r="AB60" s="21">
        <f>IF(AP60="1",BH60,0)</f>
        <v>0</v>
      </c>
      <c r="AC60" s="21">
        <f>IF(AP60="7",BG60,0)</f>
        <v>0</v>
      </c>
      <c r="AD60" s="21">
        <f>IF(AP60="7",BH60,0)</f>
        <v>0</v>
      </c>
      <c r="AE60" s="21">
        <f>IF(AP60="2",BG60,0)</f>
        <v>0</v>
      </c>
      <c r="AF60" s="21">
        <f>IF(AP60="2",BH60,0)</f>
        <v>0</v>
      </c>
      <c r="AG60" s="21">
        <f>IF(AP60="0",BI60,0)</f>
        <v>0</v>
      </c>
      <c r="AH60" s="20" t="s">
        <v>322</v>
      </c>
      <c r="AI60" s="14">
        <f>IF(AM60=0,K60,0)</f>
        <v>0</v>
      </c>
      <c r="AJ60" s="14">
        <f>IF(AM60=15,K60,0)</f>
        <v>0</v>
      </c>
      <c r="AK60" s="14">
        <f>IF(AM60=21,K60,0)</f>
        <v>0</v>
      </c>
      <c r="AM60" s="21">
        <v>15</v>
      </c>
      <c r="AN60" s="21">
        <f>H60*0.801162142368468</f>
        <v>0</v>
      </c>
      <c r="AO60" s="21">
        <f>H60*(1-0.801162142368468)</f>
        <v>0</v>
      </c>
      <c r="AP60" s="22" t="s">
        <v>7</v>
      </c>
      <c r="AU60" s="21">
        <f>AV60+AW60</f>
        <v>0</v>
      </c>
      <c r="AV60" s="21">
        <f>G60*AN60</f>
        <v>0</v>
      </c>
      <c r="AW60" s="21">
        <f>G60*AO60</f>
        <v>0</v>
      </c>
      <c r="AX60" s="24" t="s">
        <v>335</v>
      </c>
      <c r="AY60" s="24" t="s">
        <v>352</v>
      </c>
      <c r="AZ60" s="20" t="s">
        <v>367</v>
      </c>
      <c r="BB60" s="21">
        <f>AV60+AW60</f>
        <v>0</v>
      </c>
      <c r="BC60" s="21">
        <f>H60/(100-BD60)*100</f>
        <v>0</v>
      </c>
      <c r="BD60" s="21">
        <v>0</v>
      </c>
      <c r="BE60" s="21">
        <f>60</f>
        <v>60</v>
      </c>
      <c r="BG60" s="14">
        <f>G60*AN60</f>
        <v>0</v>
      </c>
      <c r="BH60" s="14">
        <f>G60*AO60</f>
        <v>0</v>
      </c>
      <c r="BI60" s="14">
        <f>G60*H60</f>
        <v>0</v>
      </c>
      <c r="BJ60" s="14" t="s">
        <v>164</v>
      </c>
      <c r="BK60" s="21">
        <v>34</v>
      </c>
    </row>
    <row r="61" spans="1:46" ht="12.75">
      <c r="A61" s="2"/>
      <c r="B61" s="8" t="s">
        <v>66</v>
      </c>
      <c r="C61" s="137" t="s">
        <v>220</v>
      </c>
      <c r="D61" s="138"/>
      <c r="E61" s="138"/>
      <c r="F61" s="12" t="s">
        <v>6</v>
      </c>
      <c r="G61" s="12" t="s">
        <v>6</v>
      </c>
      <c r="H61" s="12" t="s">
        <v>6</v>
      </c>
      <c r="I61" s="26">
        <f>SUM(I62:I62)</f>
        <v>0</v>
      </c>
      <c r="J61" s="26">
        <f>SUM(J62:J62)</f>
        <v>0</v>
      </c>
      <c r="K61" s="26">
        <f>SUM(K62:K62)</f>
        <v>0</v>
      </c>
      <c r="L61" s="18"/>
      <c r="AH61" s="20" t="s">
        <v>322</v>
      </c>
      <c r="AR61" s="26">
        <f>SUM(AI62:AI62)</f>
        <v>0</v>
      </c>
      <c r="AS61" s="26">
        <f>SUM(AJ62:AJ62)</f>
        <v>0</v>
      </c>
      <c r="AT61" s="26">
        <f>SUM(AK62:AK62)</f>
        <v>0</v>
      </c>
    </row>
    <row r="62" spans="1:63" ht="12.75">
      <c r="A62" s="3" t="s">
        <v>43</v>
      </c>
      <c r="B62" s="9" t="s">
        <v>128</v>
      </c>
      <c r="C62" s="139" t="s">
        <v>221</v>
      </c>
      <c r="D62" s="140"/>
      <c r="E62" s="140"/>
      <c r="F62" s="9" t="s">
        <v>291</v>
      </c>
      <c r="G62" s="14">
        <v>19.8</v>
      </c>
      <c r="H62" s="14">
        <v>0</v>
      </c>
      <c r="I62" s="14">
        <f>G62*AN62</f>
        <v>0</v>
      </c>
      <c r="J62" s="14">
        <f>G62*AO62</f>
        <v>0</v>
      </c>
      <c r="K62" s="14">
        <f>G62*H62</f>
        <v>0</v>
      </c>
      <c r="L62" s="18"/>
      <c r="Y62" s="21">
        <f>IF(AP62="5",BI62,0)</f>
        <v>0</v>
      </c>
      <c r="AA62" s="21">
        <f>IF(AP62="1",BG62,0)</f>
        <v>0</v>
      </c>
      <c r="AB62" s="21">
        <f>IF(AP62="1",BH62,0)</f>
        <v>0</v>
      </c>
      <c r="AC62" s="21">
        <f>IF(AP62="7",BG62,0)</f>
        <v>0</v>
      </c>
      <c r="AD62" s="21">
        <f>IF(AP62="7",BH62,0)</f>
        <v>0</v>
      </c>
      <c r="AE62" s="21">
        <f>IF(AP62="2",BG62,0)</f>
        <v>0</v>
      </c>
      <c r="AF62" s="21">
        <f>IF(AP62="2",BH62,0)</f>
        <v>0</v>
      </c>
      <c r="AG62" s="21">
        <f>IF(AP62="0",BI62,0)</f>
        <v>0</v>
      </c>
      <c r="AH62" s="20" t="s">
        <v>322</v>
      </c>
      <c r="AI62" s="14">
        <f>IF(AM62=0,K62,0)</f>
        <v>0</v>
      </c>
      <c r="AJ62" s="14">
        <f>IF(AM62=15,K62,0)</f>
        <v>0</v>
      </c>
      <c r="AK62" s="14">
        <f>IF(AM62=21,K62,0)</f>
        <v>0</v>
      </c>
      <c r="AM62" s="21">
        <v>15</v>
      </c>
      <c r="AN62" s="21">
        <f>H62*0.294059829059829</f>
        <v>0</v>
      </c>
      <c r="AO62" s="21">
        <f>H62*(1-0.294059829059829)</f>
        <v>0</v>
      </c>
      <c r="AP62" s="22" t="s">
        <v>7</v>
      </c>
      <c r="AU62" s="21">
        <f>AV62+AW62</f>
        <v>0</v>
      </c>
      <c r="AV62" s="21">
        <f>G62*AN62</f>
        <v>0</v>
      </c>
      <c r="AW62" s="21">
        <f>G62*AO62</f>
        <v>0</v>
      </c>
      <c r="AX62" s="24" t="s">
        <v>336</v>
      </c>
      <c r="AY62" s="24" t="s">
        <v>353</v>
      </c>
      <c r="AZ62" s="20" t="s">
        <v>367</v>
      </c>
      <c r="BB62" s="21">
        <f>AV62+AW62</f>
        <v>0</v>
      </c>
      <c r="BC62" s="21">
        <f>H62/(100-BD62)*100</f>
        <v>0</v>
      </c>
      <c r="BD62" s="21">
        <v>0</v>
      </c>
      <c r="BE62" s="21">
        <f>62</f>
        <v>62</v>
      </c>
      <c r="BG62" s="14">
        <f>G62*AN62</f>
        <v>0</v>
      </c>
      <c r="BH62" s="14">
        <f>G62*AO62</f>
        <v>0</v>
      </c>
      <c r="BI62" s="14">
        <f>G62*H62</f>
        <v>0</v>
      </c>
      <c r="BJ62" s="14" t="s">
        <v>164</v>
      </c>
      <c r="BK62" s="21">
        <v>60</v>
      </c>
    </row>
    <row r="63" spans="1:46" ht="12.75">
      <c r="A63" s="2"/>
      <c r="B63" s="8" t="s">
        <v>67</v>
      </c>
      <c r="C63" s="137" t="s">
        <v>222</v>
      </c>
      <c r="D63" s="138"/>
      <c r="E63" s="138"/>
      <c r="F63" s="12" t="s">
        <v>6</v>
      </c>
      <c r="G63" s="12" t="s">
        <v>6</v>
      </c>
      <c r="H63" s="12" t="s">
        <v>6</v>
      </c>
      <c r="I63" s="26">
        <f>SUM(I64:I64)</f>
        <v>0</v>
      </c>
      <c r="J63" s="26">
        <f>SUM(J64:J64)</f>
        <v>0</v>
      </c>
      <c r="K63" s="26">
        <f>SUM(K64:K64)</f>
        <v>0</v>
      </c>
      <c r="L63" s="18"/>
      <c r="AH63" s="20" t="s">
        <v>322</v>
      </c>
      <c r="AR63" s="26">
        <f>SUM(AI64:AI64)</f>
        <v>0</v>
      </c>
      <c r="AS63" s="26">
        <f>SUM(AJ64:AJ64)</f>
        <v>0</v>
      </c>
      <c r="AT63" s="26">
        <f>SUM(AK64:AK64)</f>
        <v>0</v>
      </c>
    </row>
    <row r="64" spans="1:63" ht="12.75">
      <c r="A64" s="3" t="s">
        <v>44</v>
      </c>
      <c r="B64" s="9" t="s">
        <v>129</v>
      </c>
      <c r="C64" s="139" t="s">
        <v>223</v>
      </c>
      <c r="D64" s="140"/>
      <c r="E64" s="140"/>
      <c r="F64" s="9" t="s">
        <v>293</v>
      </c>
      <c r="G64" s="14">
        <v>90</v>
      </c>
      <c r="H64" s="14">
        <v>0</v>
      </c>
      <c r="I64" s="14">
        <f>G64*AN64</f>
        <v>0</v>
      </c>
      <c r="J64" s="14">
        <f>G64*AO64</f>
        <v>0</v>
      </c>
      <c r="K64" s="14">
        <f>G64*H64</f>
        <v>0</v>
      </c>
      <c r="L64" s="18"/>
      <c r="Y64" s="21">
        <f>IF(AP64="5",BI64,0)</f>
        <v>0</v>
      </c>
      <c r="AA64" s="21">
        <f>IF(AP64="1",BG64,0)</f>
        <v>0</v>
      </c>
      <c r="AB64" s="21">
        <f>IF(AP64="1",BH64,0)</f>
        <v>0</v>
      </c>
      <c r="AC64" s="21">
        <f>IF(AP64="7",BG64,0)</f>
        <v>0</v>
      </c>
      <c r="AD64" s="21">
        <f>IF(AP64="7",BH64,0)</f>
        <v>0</v>
      </c>
      <c r="AE64" s="21">
        <f>IF(AP64="2",BG64,0)</f>
        <v>0</v>
      </c>
      <c r="AF64" s="21">
        <f>IF(AP64="2",BH64,0)</f>
        <v>0</v>
      </c>
      <c r="AG64" s="21">
        <f>IF(AP64="0",BI64,0)</f>
        <v>0</v>
      </c>
      <c r="AH64" s="20" t="s">
        <v>322</v>
      </c>
      <c r="AI64" s="14">
        <f>IF(AM64=0,K64,0)</f>
        <v>0</v>
      </c>
      <c r="AJ64" s="14">
        <f>IF(AM64=15,K64,0)</f>
        <v>0</v>
      </c>
      <c r="AK64" s="14">
        <f>IF(AM64=21,K64,0)</f>
        <v>0</v>
      </c>
      <c r="AM64" s="21">
        <v>15</v>
      </c>
      <c r="AN64" s="21">
        <f>H64*0.272718894009217</f>
        <v>0</v>
      </c>
      <c r="AO64" s="21">
        <f>H64*(1-0.272718894009217)</f>
        <v>0</v>
      </c>
      <c r="AP64" s="22" t="s">
        <v>7</v>
      </c>
      <c r="AU64" s="21">
        <f>AV64+AW64</f>
        <v>0</v>
      </c>
      <c r="AV64" s="21">
        <f>G64*AN64</f>
        <v>0</v>
      </c>
      <c r="AW64" s="21">
        <f>G64*AO64</f>
        <v>0</v>
      </c>
      <c r="AX64" s="24" t="s">
        <v>337</v>
      </c>
      <c r="AY64" s="24" t="s">
        <v>353</v>
      </c>
      <c r="AZ64" s="20" t="s">
        <v>367</v>
      </c>
      <c r="BB64" s="21">
        <f>AV64+AW64</f>
        <v>0</v>
      </c>
      <c r="BC64" s="21">
        <f>H64/(100-BD64)*100</f>
        <v>0</v>
      </c>
      <c r="BD64" s="21">
        <v>0</v>
      </c>
      <c r="BE64" s="21">
        <f>64</f>
        <v>64</v>
      </c>
      <c r="BG64" s="14">
        <f>G64*AN64</f>
        <v>0</v>
      </c>
      <c r="BH64" s="14">
        <f>G64*AO64</f>
        <v>0</v>
      </c>
      <c r="BI64" s="14">
        <f>G64*H64</f>
        <v>0</v>
      </c>
      <c r="BJ64" s="14" t="s">
        <v>164</v>
      </c>
      <c r="BK64" s="21">
        <v>61</v>
      </c>
    </row>
    <row r="65" spans="1:46" ht="12.75">
      <c r="A65" s="2"/>
      <c r="B65" s="8" t="s">
        <v>130</v>
      </c>
      <c r="C65" s="137" t="s">
        <v>224</v>
      </c>
      <c r="D65" s="138"/>
      <c r="E65" s="138"/>
      <c r="F65" s="12" t="s">
        <v>6</v>
      </c>
      <c r="G65" s="12" t="s">
        <v>6</v>
      </c>
      <c r="H65" s="12" t="s">
        <v>6</v>
      </c>
      <c r="I65" s="26">
        <f>SUM(I66:I67)</f>
        <v>0</v>
      </c>
      <c r="J65" s="26">
        <f>SUM(J66:J67)</f>
        <v>0</v>
      </c>
      <c r="K65" s="26">
        <f>SUM(K66:K67)</f>
        <v>0</v>
      </c>
      <c r="L65" s="18"/>
      <c r="AH65" s="20" t="s">
        <v>322</v>
      </c>
      <c r="AR65" s="26">
        <f>SUM(AI66:AI67)</f>
        <v>0</v>
      </c>
      <c r="AS65" s="26">
        <f>SUM(AJ66:AJ67)</f>
        <v>0</v>
      </c>
      <c r="AT65" s="26">
        <f>SUM(AK66:AK67)</f>
        <v>0</v>
      </c>
    </row>
    <row r="66" spans="1:63" ht="12.75">
      <c r="A66" s="3" t="s">
        <v>45</v>
      </c>
      <c r="B66" s="9" t="s">
        <v>131</v>
      </c>
      <c r="C66" s="139" t="s">
        <v>225</v>
      </c>
      <c r="D66" s="140"/>
      <c r="E66" s="140"/>
      <c r="F66" s="9" t="s">
        <v>291</v>
      </c>
      <c r="G66" s="14">
        <v>19.8</v>
      </c>
      <c r="H66" s="14">
        <v>0</v>
      </c>
      <c r="I66" s="14">
        <f>G66*AN66</f>
        <v>0</v>
      </c>
      <c r="J66" s="14">
        <f>G66*AO66</f>
        <v>0</v>
      </c>
      <c r="K66" s="14">
        <f>G66*H66</f>
        <v>0</v>
      </c>
      <c r="L66" s="18"/>
      <c r="Y66" s="21">
        <f>IF(AP66="5",BI66,0)</f>
        <v>0</v>
      </c>
      <c r="AA66" s="21">
        <f>IF(AP66="1",BG66,0)</f>
        <v>0</v>
      </c>
      <c r="AB66" s="21">
        <f>IF(AP66="1",BH66,0)</f>
        <v>0</v>
      </c>
      <c r="AC66" s="21">
        <f>IF(AP66="7",BG66,0)</f>
        <v>0</v>
      </c>
      <c r="AD66" s="21">
        <f>IF(AP66="7",BH66,0)</f>
        <v>0</v>
      </c>
      <c r="AE66" s="21">
        <f>IF(AP66="2",BG66,0)</f>
        <v>0</v>
      </c>
      <c r="AF66" s="21">
        <f>IF(AP66="2",BH66,0)</f>
        <v>0</v>
      </c>
      <c r="AG66" s="21">
        <f>IF(AP66="0",BI66,0)</f>
        <v>0</v>
      </c>
      <c r="AH66" s="20" t="s">
        <v>322</v>
      </c>
      <c r="AI66" s="14">
        <f>IF(AM66=0,K66,0)</f>
        <v>0</v>
      </c>
      <c r="AJ66" s="14">
        <f>IF(AM66=15,K66,0)</f>
        <v>0</v>
      </c>
      <c r="AK66" s="14">
        <f>IF(AM66=21,K66,0)</f>
        <v>0</v>
      </c>
      <c r="AM66" s="21">
        <v>15</v>
      </c>
      <c r="AN66" s="21">
        <f>H66*0.00274305769349178</f>
        <v>0</v>
      </c>
      <c r="AO66" s="21">
        <f>H66*(1-0.00274305769349178)</f>
        <v>0</v>
      </c>
      <c r="AP66" s="22" t="s">
        <v>13</v>
      </c>
      <c r="AU66" s="21">
        <f>AV66+AW66</f>
        <v>0</v>
      </c>
      <c r="AV66" s="21">
        <f>G66*AN66</f>
        <v>0</v>
      </c>
      <c r="AW66" s="21">
        <f>G66*AO66</f>
        <v>0</v>
      </c>
      <c r="AX66" s="24" t="s">
        <v>338</v>
      </c>
      <c r="AY66" s="24" t="s">
        <v>354</v>
      </c>
      <c r="AZ66" s="20" t="s">
        <v>367</v>
      </c>
      <c r="BB66" s="21">
        <f>AV66+AW66</f>
        <v>0</v>
      </c>
      <c r="BC66" s="21">
        <f>H66/(100-BD66)*100</f>
        <v>0</v>
      </c>
      <c r="BD66" s="21">
        <v>0</v>
      </c>
      <c r="BE66" s="21">
        <f>66</f>
        <v>66</v>
      </c>
      <c r="BG66" s="14">
        <f>G66*AN66</f>
        <v>0</v>
      </c>
      <c r="BH66" s="14">
        <f>G66*AO66</f>
        <v>0</v>
      </c>
      <c r="BI66" s="14">
        <f>G66*H66</f>
        <v>0</v>
      </c>
      <c r="BJ66" s="14" t="s">
        <v>164</v>
      </c>
      <c r="BK66" s="21">
        <v>784</v>
      </c>
    </row>
    <row r="67" spans="1:63" ht="12.75">
      <c r="A67" s="3" t="s">
        <v>46</v>
      </c>
      <c r="B67" s="9" t="s">
        <v>132</v>
      </c>
      <c r="C67" s="139" t="s">
        <v>226</v>
      </c>
      <c r="D67" s="140"/>
      <c r="E67" s="140"/>
      <c r="F67" s="9" t="s">
        <v>291</v>
      </c>
      <c r="G67" s="14">
        <v>19.8</v>
      </c>
      <c r="H67" s="14">
        <v>0</v>
      </c>
      <c r="I67" s="14">
        <f>G67*AN67</f>
        <v>0</v>
      </c>
      <c r="J67" s="14">
        <f>G67*AO67</f>
        <v>0</v>
      </c>
      <c r="K67" s="14">
        <f>G67*H67</f>
        <v>0</v>
      </c>
      <c r="L67" s="18"/>
      <c r="Y67" s="21">
        <f>IF(AP67="5",BI67,0)</f>
        <v>0</v>
      </c>
      <c r="AA67" s="21">
        <f>IF(AP67="1",BG67,0)</f>
        <v>0</v>
      </c>
      <c r="AB67" s="21">
        <f>IF(AP67="1",BH67,0)</f>
        <v>0</v>
      </c>
      <c r="AC67" s="21">
        <f>IF(AP67="7",BG67,0)</f>
        <v>0</v>
      </c>
      <c r="AD67" s="21">
        <f>IF(AP67="7",BH67,0)</f>
        <v>0</v>
      </c>
      <c r="AE67" s="21">
        <f>IF(AP67="2",BG67,0)</f>
        <v>0</v>
      </c>
      <c r="AF67" s="21">
        <f>IF(AP67="2",BH67,0)</f>
        <v>0</v>
      </c>
      <c r="AG67" s="21">
        <f>IF(AP67="0",BI67,0)</f>
        <v>0</v>
      </c>
      <c r="AH67" s="20" t="s">
        <v>322</v>
      </c>
      <c r="AI67" s="14">
        <f>IF(AM67=0,K67,0)</f>
        <v>0</v>
      </c>
      <c r="AJ67" s="14">
        <f>IF(AM67=15,K67,0)</f>
        <v>0</v>
      </c>
      <c r="AK67" s="14">
        <f>IF(AM67=21,K67,0)</f>
        <v>0</v>
      </c>
      <c r="AM67" s="21">
        <v>15</v>
      </c>
      <c r="AN67" s="21">
        <f>H67*0.412267657992565</f>
        <v>0</v>
      </c>
      <c r="AO67" s="21">
        <f>H67*(1-0.412267657992565)</f>
        <v>0</v>
      </c>
      <c r="AP67" s="22" t="s">
        <v>13</v>
      </c>
      <c r="AU67" s="21">
        <f>AV67+AW67</f>
        <v>0</v>
      </c>
      <c r="AV67" s="21">
        <f>G67*AN67</f>
        <v>0</v>
      </c>
      <c r="AW67" s="21">
        <f>G67*AO67</f>
        <v>0</v>
      </c>
      <c r="AX67" s="24" t="s">
        <v>338</v>
      </c>
      <c r="AY67" s="24" t="s">
        <v>354</v>
      </c>
      <c r="AZ67" s="20" t="s">
        <v>367</v>
      </c>
      <c r="BB67" s="21">
        <f>AV67+AW67</f>
        <v>0</v>
      </c>
      <c r="BC67" s="21">
        <f>H67/(100-BD67)*100</f>
        <v>0</v>
      </c>
      <c r="BD67" s="21">
        <v>0</v>
      </c>
      <c r="BE67" s="21">
        <f>67</f>
        <v>67</v>
      </c>
      <c r="BG67" s="14">
        <f>G67*AN67</f>
        <v>0</v>
      </c>
      <c r="BH67" s="14">
        <f>G67*AO67</f>
        <v>0</v>
      </c>
      <c r="BI67" s="14">
        <f>G67*H67</f>
        <v>0</v>
      </c>
      <c r="BJ67" s="14" t="s">
        <v>164</v>
      </c>
      <c r="BK67" s="21">
        <v>784</v>
      </c>
    </row>
    <row r="68" spans="1:12" ht="12.75">
      <c r="A68" s="65"/>
      <c r="B68" s="66"/>
      <c r="C68" s="143" t="s">
        <v>227</v>
      </c>
      <c r="D68" s="144"/>
      <c r="E68" s="145"/>
      <c r="F68" s="65" t="s">
        <v>6</v>
      </c>
      <c r="G68" s="65" t="s">
        <v>6</v>
      </c>
      <c r="H68" s="65" t="s">
        <v>6</v>
      </c>
      <c r="I68" s="67">
        <f>I69</f>
        <v>0</v>
      </c>
      <c r="J68" s="67">
        <f>J69</f>
        <v>0</v>
      </c>
      <c r="K68" s="67">
        <f>K69</f>
        <v>0</v>
      </c>
      <c r="L68" s="61"/>
    </row>
    <row r="69" spans="1:46" ht="12.75">
      <c r="A69" s="2"/>
      <c r="B69" s="8" t="s">
        <v>69</v>
      </c>
      <c r="C69" s="137" t="s">
        <v>228</v>
      </c>
      <c r="D69" s="138"/>
      <c r="E69" s="138"/>
      <c r="F69" s="12" t="s">
        <v>6</v>
      </c>
      <c r="G69" s="12" t="s">
        <v>6</v>
      </c>
      <c r="H69" s="12" t="s">
        <v>6</v>
      </c>
      <c r="I69" s="26">
        <f>SUM(I70:I75)</f>
        <v>0</v>
      </c>
      <c r="J69" s="26">
        <f>SUM(J70:J75)</f>
        <v>0</v>
      </c>
      <c r="K69" s="26">
        <f>SUM(K70:K75)</f>
        <v>0</v>
      </c>
      <c r="L69" s="18"/>
      <c r="AH69" s="20" t="s">
        <v>323</v>
      </c>
      <c r="AR69" s="26">
        <f>SUM(AI70:AI75)</f>
        <v>0</v>
      </c>
      <c r="AS69" s="26">
        <f>SUM(AJ70:AJ75)</f>
        <v>0</v>
      </c>
      <c r="AT69" s="26">
        <f>SUM(AK70:AK75)</f>
        <v>0</v>
      </c>
    </row>
    <row r="70" spans="1:63" ht="12.75">
      <c r="A70" s="3" t="s">
        <v>47</v>
      </c>
      <c r="B70" s="9" t="s">
        <v>133</v>
      </c>
      <c r="C70" s="139" t="s">
        <v>229</v>
      </c>
      <c r="D70" s="140"/>
      <c r="E70" s="140"/>
      <c r="F70" s="9" t="s">
        <v>293</v>
      </c>
      <c r="G70" s="14">
        <v>69</v>
      </c>
      <c r="H70" s="14">
        <v>0</v>
      </c>
      <c r="I70" s="14">
        <f aca="true" t="shared" si="44" ref="I70:I75">G70*AN70</f>
        <v>0</v>
      </c>
      <c r="J70" s="14">
        <f aca="true" t="shared" si="45" ref="J70:J75">G70*AO70</f>
        <v>0</v>
      </c>
      <c r="K70" s="14">
        <f aca="true" t="shared" si="46" ref="K70:K75">G70*H70</f>
        <v>0</v>
      </c>
      <c r="L70" s="18"/>
      <c r="Y70" s="21">
        <f aca="true" t="shared" si="47" ref="Y70:Y75">IF(AP70="5",BI70,0)</f>
        <v>0</v>
      </c>
      <c r="AA70" s="21">
        <f aca="true" t="shared" si="48" ref="AA70:AA75">IF(AP70="1",BG70,0)</f>
        <v>0</v>
      </c>
      <c r="AB70" s="21">
        <f aca="true" t="shared" si="49" ref="AB70:AB75">IF(AP70="1",BH70,0)</f>
        <v>0</v>
      </c>
      <c r="AC70" s="21">
        <f aca="true" t="shared" si="50" ref="AC70:AC75">IF(AP70="7",BG70,0)</f>
        <v>0</v>
      </c>
      <c r="AD70" s="21">
        <f aca="true" t="shared" si="51" ref="AD70:AD75">IF(AP70="7",BH70,0)</f>
        <v>0</v>
      </c>
      <c r="AE70" s="21">
        <f aca="true" t="shared" si="52" ref="AE70:AE75">IF(AP70="2",BG70,0)</f>
        <v>0</v>
      </c>
      <c r="AF70" s="21">
        <f aca="true" t="shared" si="53" ref="AF70:AF75">IF(AP70="2",BH70,0)</f>
        <v>0</v>
      </c>
      <c r="AG70" s="21">
        <f aca="true" t="shared" si="54" ref="AG70:AG75">IF(AP70="0",BI70,0)</f>
        <v>0</v>
      </c>
      <c r="AH70" s="20" t="s">
        <v>323</v>
      </c>
      <c r="AI70" s="14">
        <f aca="true" t="shared" si="55" ref="AI70:AI75">IF(AM70=0,K70,0)</f>
        <v>0</v>
      </c>
      <c r="AJ70" s="14">
        <f aca="true" t="shared" si="56" ref="AJ70:AJ75">IF(AM70=15,K70,0)</f>
        <v>0</v>
      </c>
      <c r="AK70" s="14">
        <f aca="true" t="shared" si="57" ref="AK70:AK75">IF(AM70=21,K70,0)</f>
        <v>0</v>
      </c>
      <c r="AM70" s="21">
        <v>15</v>
      </c>
      <c r="AN70" s="21">
        <f>H70*0.612579617834395</f>
        <v>0</v>
      </c>
      <c r="AO70" s="21">
        <f>H70*(1-0.612579617834395)</f>
        <v>0</v>
      </c>
      <c r="AP70" s="22" t="s">
        <v>7</v>
      </c>
      <c r="AU70" s="21">
        <f aca="true" t="shared" si="58" ref="AU70:AU75">AV70+AW70</f>
        <v>0</v>
      </c>
      <c r="AV70" s="21">
        <f aca="true" t="shared" si="59" ref="AV70:AV75">G70*AN70</f>
        <v>0</v>
      </c>
      <c r="AW70" s="21">
        <f aca="true" t="shared" si="60" ref="AW70:AW75">G70*AO70</f>
        <v>0</v>
      </c>
      <c r="AX70" s="24" t="s">
        <v>339</v>
      </c>
      <c r="AY70" s="24" t="s">
        <v>355</v>
      </c>
      <c r="AZ70" s="20" t="s">
        <v>368</v>
      </c>
      <c r="BB70" s="21">
        <f aca="true" t="shared" si="61" ref="BB70:BB75">AV70+AW70</f>
        <v>0</v>
      </c>
      <c r="BC70" s="21">
        <f aca="true" t="shared" si="62" ref="BC70:BC75">H70/(100-BD70)*100</f>
        <v>0</v>
      </c>
      <c r="BD70" s="21">
        <v>0</v>
      </c>
      <c r="BE70" s="21">
        <f>70</f>
        <v>70</v>
      </c>
      <c r="BG70" s="14">
        <f aca="true" t="shared" si="63" ref="BG70:BG75">G70*AN70</f>
        <v>0</v>
      </c>
      <c r="BH70" s="14">
        <f aca="true" t="shared" si="64" ref="BH70:BH75">G70*AO70</f>
        <v>0</v>
      </c>
      <c r="BI70" s="14">
        <f aca="true" t="shared" si="65" ref="BI70:BI75">G70*H70</f>
        <v>0</v>
      </c>
      <c r="BJ70" s="14" t="s">
        <v>164</v>
      </c>
      <c r="BK70" s="21">
        <v>63</v>
      </c>
    </row>
    <row r="71" spans="1:63" ht="12.75">
      <c r="A71" s="3" t="s">
        <v>48</v>
      </c>
      <c r="B71" s="9" t="s">
        <v>134</v>
      </c>
      <c r="C71" s="139" t="s">
        <v>230</v>
      </c>
      <c r="D71" s="140"/>
      <c r="E71" s="140"/>
      <c r="F71" s="9" t="s">
        <v>291</v>
      </c>
      <c r="G71" s="14">
        <v>32.64</v>
      </c>
      <c r="H71" s="14">
        <v>0</v>
      </c>
      <c r="I71" s="14">
        <f t="shared" si="44"/>
        <v>0</v>
      </c>
      <c r="J71" s="14">
        <f t="shared" si="45"/>
        <v>0</v>
      </c>
      <c r="K71" s="14">
        <f t="shared" si="46"/>
        <v>0</v>
      </c>
      <c r="L71" s="18"/>
      <c r="Y71" s="21">
        <f t="shared" si="47"/>
        <v>0</v>
      </c>
      <c r="AA71" s="21">
        <f t="shared" si="48"/>
        <v>0</v>
      </c>
      <c r="AB71" s="21">
        <f t="shared" si="49"/>
        <v>0</v>
      </c>
      <c r="AC71" s="21">
        <f t="shared" si="50"/>
        <v>0</v>
      </c>
      <c r="AD71" s="21">
        <f t="shared" si="51"/>
        <v>0</v>
      </c>
      <c r="AE71" s="21">
        <f t="shared" si="52"/>
        <v>0</v>
      </c>
      <c r="AF71" s="21">
        <f t="shared" si="53"/>
        <v>0</v>
      </c>
      <c r="AG71" s="21">
        <f t="shared" si="54"/>
        <v>0</v>
      </c>
      <c r="AH71" s="20" t="s">
        <v>323</v>
      </c>
      <c r="AI71" s="14">
        <f t="shared" si="55"/>
        <v>0</v>
      </c>
      <c r="AJ71" s="14">
        <f t="shared" si="56"/>
        <v>0</v>
      </c>
      <c r="AK71" s="14">
        <f t="shared" si="57"/>
        <v>0</v>
      </c>
      <c r="AM71" s="21">
        <v>15</v>
      </c>
      <c r="AN71" s="21">
        <f>H71*0.477759121448466</f>
        <v>0</v>
      </c>
      <c r="AO71" s="21">
        <f>H71*(1-0.477759121448466)</f>
        <v>0</v>
      </c>
      <c r="AP71" s="22" t="s">
        <v>7</v>
      </c>
      <c r="AU71" s="21">
        <f t="shared" si="58"/>
        <v>0</v>
      </c>
      <c r="AV71" s="21">
        <f t="shared" si="59"/>
        <v>0</v>
      </c>
      <c r="AW71" s="21">
        <f t="shared" si="60"/>
        <v>0</v>
      </c>
      <c r="AX71" s="24" t="s">
        <v>339</v>
      </c>
      <c r="AY71" s="24" t="s">
        <v>355</v>
      </c>
      <c r="AZ71" s="20" t="s">
        <v>368</v>
      </c>
      <c r="BB71" s="21">
        <f t="shared" si="61"/>
        <v>0</v>
      </c>
      <c r="BC71" s="21">
        <f t="shared" si="62"/>
        <v>0</v>
      </c>
      <c r="BD71" s="21">
        <v>0</v>
      </c>
      <c r="BE71" s="21">
        <f>71</f>
        <v>71</v>
      </c>
      <c r="BG71" s="14">
        <f t="shared" si="63"/>
        <v>0</v>
      </c>
      <c r="BH71" s="14">
        <f t="shared" si="64"/>
        <v>0</v>
      </c>
      <c r="BI71" s="14">
        <f t="shared" si="65"/>
        <v>0</v>
      </c>
      <c r="BJ71" s="14" t="s">
        <v>164</v>
      </c>
      <c r="BK71" s="21">
        <v>63</v>
      </c>
    </row>
    <row r="72" spans="1:63" ht="12.75">
      <c r="A72" s="3" t="s">
        <v>49</v>
      </c>
      <c r="B72" s="9" t="s">
        <v>135</v>
      </c>
      <c r="C72" s="139" t="s">
        <v>231</v>
      </c>
      <c r="D72" s="140"/>
      <c r="E72" s="140"/>
      <c r="F72" s="9" t="s">
        <v>291</v>
      </c>
      <c r="G72" s="14">
        <v>34</v>
      </c>
      <c r="H72" s="14">
        <v>0</v>
      </c>
      <c r="I72" s="14">
        <f t="shared" si="44"/>
        <v>0</v>
      </c>
      <c r="J72" s="14">
        <f t="shared" si="45"/>
        <v>0</v>
      </c>
      <c r="K72" s="14">
        <f t="shared" si="46"/>
        <v>0</v>
      </c>
      <c r="L72" s="18"/>
      <c r="Y72" s="21">
        <f t="shared" si="47"/>
        <v>0</v>
      </c>
      <c r="AA72" s="21">
        <f t="shared" si="48"/>
        <v>0</v>
      </c>
      <c r="AB72" s="21">
        <f t="shared" si="49"/>
        <v>0</v>
      </c>
      <c r="AC72" s="21">
        <f t="shared" si="50"/>
        <v>0</v>
      </c>
      <c r="AD72" s="21">
        <f t="shared" si="51"/>
        <v>0</v>
      </c>
      <c r="AE72" s="21">
        <f t="shared" si="52"/>
        <v>0</v>
      </c>
      <c r="AF72" s="21">
        <f t="shared" si="53"/>
        <v>0</v>
      </c>
      <c r="AG72" s="21">
        <f t="shared" si="54"/>
        <v>0</v>
      </c>
      <c r="AH72" s="20" t="s">
        <v>323</v>
      </c>
      <c r="AI72" s="14">
        <f t="shared" si="55"/>
        <v>0</v>
      </c>
      <c r="AJ72" s="14">
        <f t="shared" si="56"/>
        <v>0</v>
      </c>
      <c r="AK72" s="14">
        <f t="shared" si="57"/>
        <v>0</v>
      </c>
      <c r="AM72" s="21">
        <v>15</v>
      </c>
      <c r="AN72" s="21">
        <f>H72*0.896995024875622</f>
        <v>0</v>
      </c>
      <c r="AO72" s="21">
        <f>H72*(1-0.896995024875622)</f>
        <v>0</v>
      </c>
      <c r="AP72" s="22" t="s">
        <v>7</v>
      </c>
      <c r="AU72" s="21">
        <f t="shared" si="58"/>
        <v>0</v>
      </c>
      <c r="AV72" s="21">
        <f t="shared" si="59"/>
        <v>0</v>
      </c>
      <c r="AW72" s="21">
        <f t="shared" si="60"/>
        <v>0</v>
      </c>
      <c r="AX72" s="24" t="s">
        <v>339</v>
      </c>
      <c r="AY72" s="24" t="s">
        <v>355</v>
      </c>
      <c r="AZ72" s="20" t="s">
        <v>368</v>
      </c>
      <c r="BB72" s="21">
        <f t="shared" si="61"/>
        <v>0</v>
      </c>
      <c r="BC72" s="21">
        <f t="shared" si="62"/>
        <v>0</v>
      </c>
      <c r="BD72" s="21">
        <v>0</v>
      </c>
      <c r="BE72" s="21">
        <f>72</f>
        <v>72</v>
      </c>
      <c r="BG72" s="14">
        <f t="shared" si="63"/>
        <v>0</v>
      </c>
      <c r="BH72" s="14">
        <f t="shared" si="64"/>
        <v>0</v>
      </c>
      <c r="BI72" s="14">
        <f t="shared" si="65"/>
        <v>0</v>
      </c>
      <c r="BJ72" s="14" t="s">
        <v>164</v>
      </c>
      <c r="BK72" s="21">
        <v>63</v>
      </c>
    </row>
    <row r="73" spans="1:63" ht="12.75">
      <c r="A73" s="3" t="s">
        <v>50</v>
      </c>
      <c r="B73" s="9" t="s">
        <v>136</v>
      </c>
      <c r="C73" s="139" t="s">
        <v>232</v>
      </c>
      <c r="D73" s="140"/>
      <c r="E73" s="140"/>
      <c r="F73" s="9" t="s">
        <v>291</v>
      </c>
      <c r="G73" s="14">
        <v>27.4</v>
      </c>
      <c r="H73" s="14">
        <v>0</v>
      </c>
      <c r="I73" s="14">
        <f t="shared" si="44"/>
        <v>0</v>
      </c>
      <c r="J73" s="14">
        <f t="shared" si="45"/>
        <v>0</v>
      </c>
      <c r="K73" s="14">
        <f t="shared" si="46"/>
        <v>0</v>
      </c>
      <c r="L73" s="18"/>
      <c r="Y73" s="21">
        <f t="shared" si="47"/>
        <v>0</v>
      </c>
      <c r="AA73" s="21">
        <f t="shared" si="48"/>
        <v>0</v>
      </c>
      <c r="AB73" s="21">
        <f t="shared" si="49"/>
        <v>0</v>
      </c>
      <c r="AC73" s="21">
        <f t="shared" si="50"/>
        <v>0</v>
      </c>
      <c r="AD73" s="21">
        <f t="shared" si="51"/>
        <v>0</v>
      </c>
      <c r="AE73" s="21">
        <f t="shared" si="52"/>
        <v>0</v>
      </c>
      <c r="AF73" s="21">
        <f t="shared" si="53"/>
        <v>0</v>
      </c>
      <c r="AG73" s="21">
        <f t="shared" si="54"/>
        <v>0</v>
      </c>
      <c r="AH73" s="20" t="s">
        <v>323</v>
      </c>
      <c r="AI73" s="14">
        <f t="shared" si="55"/>
        <v>0</v>
      </c>
      <c r="AJ73" s="14">
        <f t="shared" si="56"/>
        <v>0</v>
      </c>
      <c r="AK73" s="14">
        <f t="shared" si="57"/>
        <v>0</v>
      </c>
      <c r="AM73" s="21">
        <v>15</v>
      </c>
      <c r="AN73" s="21">
        <f>H73*0.162653562653563</f>
        <v>0</v>
      </c>
      <c r="AO73" s="21">
        <f>H73*(1-0.162653562653563)</f>
        <v>0</v>
      </c>
      <c r="AP73" s="22" t="s">
        <v>7</v>
      </c>
      <c r="AU73" s="21">
        <f t="shared" si="58"/>
        <v>0</v>
      </c>
      <c r="AV73" s="21">
        <f t="shared" si="59"/>
        <v>0</v>
      </c>
      <c r="AW73" s="21">
        <f t="shared" si="60"/>
        <v>0</v>
      </c>
      <c r="AX73" s="24" t="s">
        <v>339</v>
      </c>
      <c r="AY73" s="24" t="s">
        <v>355</v>
      </c>
      <c r="AZ73" s="20" t="s">
        <v>368</v>
      </c>
      <c r="BB73" s="21">
        <f t="shared" si="61"/>
        <v>0</v>
      </c>
      <c r="BC73" s="21">
        <f t="shared" si="62"/>
        <v>0</v>
      </c>
      <c r="BD73" s="21">
        <v>0</v>
      </c>
      <c r="BE73" s="21">
        <f>73</f>
        <v>73</v>
      </c>
      <c r="BG73" s="14">
        <f t="shared" si="63"/>
        <v>0</v>
      </c>
      <c r="BH73" s="14">
        <f t="shared" si="64"/>
        <v>0</v>
      </c>
      <c r="BI73" s="14">
        <f t="shared" si="65"/>
        <v>0</v>
      </c>
      <c r="BJ73" s="14" t="s">
        <v>164</v>
      </c>
      <c r="BK73" s="21">
        <v>63</v>
      </c>
    </row>
    <row r="74" spans="1:63" ht="12.75">
      <c r="A74" s="3" t="s">
        <v>51</v>
      </c>
      <c r="B74" s="9" t="s">
        <v>137</v>
      </c>
      <c r="C74" s="139" t="s">
        <v>233</v>
      </c>
      <c r="D74" s="140"/>
      <c r="E74" s="140"/>
      <c r="F74" s="9" t="s">
        <v>292</v>
      </c>
      <c r="G74" s="14">
        <v>2.74</v>
      </c>
      <c r="H74" s="14">
        <v>0</v>
      </c>
      <c r="I74" s="14">
        <f t="shared" si="44"/>
        <v>0</v>
      </c>
      <c r="J74" s="14">
        <f t="shared" si="45"/>
        <v>0</v>
      </c>
      <c r="K74" s="14">
        <f t="shared" si="46"/>
        <v>0</v>
      </c>
      <c r="L74" s="18"/>
      <c r="Y74" s="21">
        <f t="shared" si="47"/>
        <v>0</v>
      </c>
      <c r="AA74" s="21">
        <f t="shared" si="48"/>
        <v>0</v>
      </c>
      <c r="AB74" s="21">
        <f t="shared" si="49"/>
        <v>0</v>
      </c>
      <c r="AC74" s="21">
        <f t="shared" si="50"/>
        <v>0</v>
      </c>
      <c r="AD74" s="21">
        <f t="shared" si="51"/>
        <v>0</v>
      </c>
      <c r="AE74" s="21">
        <f t="shared" si="52"/>
        <v>0</v>
      </c>
      <c r="AF74" s="21">
        <f t="shared" si="53"/>
        <v>0</v>
      </c>
      <c r="AG74" s="21">
        <f t="shared" si="54"/>
        <v>0</v>
      </c>
      <c r="AH74" s="20" t="s">
        <v>323</v>
      </c>
      <c r="AI74" s="14">
        <f t="shared" si="55"/>
        <v>0</v>
      </c>
      <c r="AJ74" s="14">
        <f t="shared" si="56"/>
        <v>0</v>
      </c>
      <c r="AK74" s="14">
        <f t="shared" si="57"/>
        <v>0</v>
      </c>
      <c r="AM74" s="21">
        <v>15</v>
      </c>
      <c r="AN74" s="21">
        <f>H74*0.720059368899647</f>
        <v>0</v>
      </c>
      <c r="AO74" s="21">
        <f>H74*(1-0.720059368899647)</f>
        <v>0</v>
      </c>
      <c r="AP74" s="22" t="s">
        <v>7</v>
      </c>
      <c r="AU74" s="21">
        <f t="shared" si="58"/>
        <v>0</v>
      </c>
      <c r="AV74" s="21">
        <f t="shared" si="59"/>
        <v>0</v>
      </c>
      <c r="AW74" s="21">
        <f t="shared" si="60"/>
        <v>0</v>
      </c>
      <c r="AX74" s="24" t="s">
        <v>339</v>
      </c>
      <c r="AY74" s="24" t="s">
        <v>355</v>
      </c>
      <c r="AZ74" s="20" t="s">
        <v>368</v>
      </c>
      <c r="BB74" s="21">
        <f t="shared" si="61"/>
        <v>0</v>
      </c>
      <c r="BC74" s="21">
        <f t="shared" si="62"/>
        <v>0</v>
      </c>
      <c r="BD74" s="21">
        <v>0</v>
      </c>
      <c r="BE74" s="21">
        <f>74</f>
        <v>74</v>
      </c>
      <c r="BG74" s="14">
        <f t="shared" si="63"/>
        <v>0</v>
      </c>
      <c r="BH74" s="14">
        <f t="shared" si="64"/>
        <v>0</v>
      </c>
      <c r="BI74" s="14">
        <f t="shared" si="65"/>
        <v>0</v>
      </c>
      <c r="BJ74" s="14" t="s">
        <v>164</v>
      </c>
      <c r="BK74" s="21">
        <v>63</v>
      </c>
    </row>
    <row r="75" spans="1:63" ht="12.75">
      <c r="A75" s="3" t="s">
        <v>52</v>
      </c>
      <c r="B75" s="9" t="s">
        <v>138</v>
      </c>
      <c r="C75" s="139" t="s">
        <v>234</v>
      </c>
      <c r="D75" s="140"/>
      <c r="E75" s="140"/>
      <c r="F75" s="9" t="s">
        <v>294</v>
      </c>
      <c r="G75" s="14">
        <v>0.158</v>
      </c>
      <c r="H75" s="14">
        <v>0</v>
      </c>
      <c r="I75" s="14">
        <f t="shared" si="44"/>
        <v>0</v>
      </c>
      <c r="J75" s="14">
        <f t="shared" si="45"/>
        <v>0</v>
      </c>
      <c r="K75" s="14">
        <f t="shared" si="46"/>
        <v>0</v>
      </c>
      <c r="L75" s="18"/>
      <c r="Y75" s="21">
        <f t="shared" si="47"/>
        <v>0</v>
      </c>
      <c r="AA75" s="21">
        <f t="shared" si="48"/>
        <v>0</v>
      </c>
      <c r="AB75" s="21">
        <f t="shared" si="49"/>
        <v>0</v>
      </c>
      <c r="AC75" s="21">
        <f t="shared" si="50"/>
        <v>0</v>
      </c>
      <c r="AD75" s="21">
        <f t="shared" si="51"/>
        <v>0</v>
      </c>
      <c r="AE75" s="21">
        <f t="shared" si="52"/>
        <v>0</v>
      </c>
      <c r="AF75" s="21">
        <f t="shared" si="53"/>
        <v>0</v>
      </c>
      <c r="AG75" s="21">
        <f t="shared" si="54"/>
        <v>0</v>
      </c>
      <c r="AH75" s="20" t="s">
        <v>323</v>
      </c>
      <c r="AI75" s="14">
        <f t="shared" si="55"/>
        <v>0</v>
      </c>
      <c r="AJ75" s="14">
        <f t="shared" si="56"/>
        <v>0</v>
      </c>
      <c r="AK75" s="14">
        <f t="shared" si="57"/>
        <v>0</v>
      </c>
      <c r="AM75" s="21">
        <v>15</v>
      </c>
      <c r="AN75" s="21">
        <f>H75*0.774657752308182</f>
        <v>0</v>
      </c>
      <c r="AO75" s="21">
        <f>H75*(1-0.774657752308182)</f>
        <v>0</v>
      </c>
      <c r="AP75" s="22" t="s">
        <v>7</v>
      </c>
      <c r="AU75" s="21">
        <f t="shared" si="58"/>
        <v>0</v>
      </c>
      <c r="AV75" s="21">
        <f t="shared" si="59"/>
        <v>0</v>
      </c>
      <c r="AW75" s="21">
        <f t="shared" si="60"/>
        <v>0</v>
      </c>
      <c r="AX75" s="24" t="s">
        <v>339</v>
      </c>
      <c r="AY75" s="24" t="s">
        <v>355</v>
      </c>
      <c r="AZ75" s="20" t="s">
        <v>368</v>
      </c>
      <c r="BB75" s="21">
        <f t="shared" si="61"/>
        <v>0</v>
      </c>
      <c r="BC75" s="21">
        <f t="shared" si="62"/>
        <v>0</v>
      </c>
      <c r="BD75" s="21">
        <v>0</v>
      </c>
      <c r="BE75" s="21">
        <f>75</f>
        <v>75</v>
      </c>
      <c r="BG75" s="14">
        <f t="shared" si="63"/>
        <v>0</v>
      </c>
      <c r="BH75" s="14">
        <f t="shared" si="64"/>
        <v>0</v>
      </c>
      <c r="BI75" s="14">
        <f t="shared" si="65"/>
        <v>0</v>
      </c>
      <c r="BJ75" s="14" t="s">
        <v>164</v>
      </c>
      <c r="BK75" s="21">
        <v>63</v>
      </c>
    </row>
    <row r="76" spans="1:12" ht="12.75">
      <c r="A76" s="65"/>
      <c r="B76" s="66"/>
      <c r="C76" s="143" t="s">
        <v>235</v>
      </c>
      <c r="D76" s="144"/>
      <c r="E76" s="145"/>
      <c r="F76" s="65" t="s">
        <v>6</v>
      </c>
      <c r="G76" s="65" t="s">
        <v>6</v>
      </c>
      <c r="H76" s="65" t="s">
        <v>6</v>
      </c>
      <c r="I76" s="67">
        <f>I77</f>
        <v>0</v>
      </c>
      <c r="J76" s="67">
        <f>J77</f>
        <v>0</v>
      </c>
      <c r="K76" s="67">
        <f>K77</f>
        <v>0</v>
      </c>
      <c r="L76" s="61"/>
    </row>
    <row r="77" spans="1:46" ht="12.75">
      <c r="A77" s="2"/>
      <c r="B77" s="8" t="s">
        <v>139</v>
      </c>
      <c r="C77" s="137" t="s">
        <v>236</v>
      </c>
      <c r="D77" s="138"/>
      <c r="E77" s="138"/>
      <c r="F77" s="12" t="s">
        <v>6</v>
      </c>
      <c r="G77" s="12" t="s">
        <v>6</v>
      </c>
      <c r="H77" s="12" t="s">
        <v>6</v>
      </c>
      <c r="I77" s="26">
        <f>SUM(I78:I82)</f>
        <v>0</v>
      </c>
      <c r="J77" s="26">
        <f>SUM(J78:J82)</f>
        <v>0</v>
      </c>
      <c r="K77" s="26">
        <f>SUM(K78:K82)</f>
        <v>0</v>
      </c>
      <c r="L77" s="18"/>
      <c r="AH77" s="20" t="s">
        <v>324</v>
      </c>
      <c r="AR77" s="26">
        <f>SUM(AI78:AI82)</f>
        <v>0</v>
      </c>
      <c r="AS77" s="26">
        <f>SUM(AJ78:AJ82)</f>
        <v>0</v>
      </c>
      <c r="AT77" s="26">
        <f>SUM(AK78:AK82)</f>
        <v>0</v>
      </c>
    </row>
    <row r="78" spans="1:63" ht="12.75">
      <c r="A78" s="3" t="s">
        <v>53</v>
      </c>
      <c r="B78" s="9" t="s">
        <v>140</v>
      </c>
      <c r="C78" s="139" t="s">
        <v>237</v>
      </c>
      <c r="D78" s="140"/>
      <c r="E78" s="140"/>
      <c r="F78" s="9" t="s">
        <v>291</v>
      </c>
      <c r="G78" s="14">
        <v>60.1</v>
      </c>
      <c r="H78" s="14">
        <v>0</v>
      </c>
      <c r="I78" s="14">
        <f>G78*AN78</f>
        <v>0</v>
      </c>
      <c r="J78" s="14">
        <f>G78*AO78</f>
        <v>0</v>
      </c>
      <c r="K78" s="14">
        <f>G78*H78</f>
        <v>0</v>
      </c>
      <c r="L78" s="18"/>
      <c r="Y78" s="21">
        <f>IF(AP78="5",BI78,0)</f>
        <v>0</v>
      </c>
      <c r="AA78" s="21">
        <f>IF(AP78="1",BG78,0)</f>
        <v>0</v>
      </c>
      <c r="AB78" s="21">
        <f>IF(AP78="1",BH78,0)</f>
        <v>0</v>
      </c>
      <c r="AC78" s="21">
        <f>IF(AP78="7",BG78,0)</f>
        <v>0</v>
      </c>
      <c r="AD78" s="21">
        <f>IF(AP78="7",BH78,0)</f>
        <v>0</v>
      </c>
      <c r="AE78" s="21">
        <f>IF(AP78="2",BG78,0)</f>
        <v>0</v>
      </c>
      <c r="AF78" s="21">
        <f>IF(AP78="2",BH78,0)</f>
        <v>0</v>
      </c>
      <c r="AG78" s="21">
        <f>IF(AP78="0",BI78,0)</f>
        <v>0</v>
      </c>
      <c r="AH78" s="20" t="s">
        <v>324</v>
      </c>
      <c r="AI78" s="14">
        <f>IF(AM78=0,K78,0)</f>
        <v>0</v>
      </c>
      <c r="AJ78" s="14">
        <f>IF(AM78=15,K78,0)</f>
        <v>0</v>
      </c>
      <c r="AK78" s="14">
        <f>IF(AM78=21,K78,0)</f>
        <v>0</v>
      </c>
      <c r="AM78" s="21">
        <v>15</v>
      </c>
      <c r="AN78" s="21">
        <f>H78*0.236775362318841</f>
        <v>0</v>
      </c>
      <c r="AO78" s="21">
        <f>H78*(1-0.236775362318841)</f>
        <v>0</v>
      </c>
      <c r="AP78" s="22" t="s">
        <v>13</v>
      </c>
      <c r="AU78" s="21">
        <f>AV78+AW78</f>
        <v>0</v>
      </c>
      <c r="AV78" s="21">
        <f>G78*AN78</f>
        <v>0</v>
      </c>
      <c r="AW78" s="21">
        <f>G78*AO78</f>
        <v>0</v>
      </c>
      <c r="AX78" s="24" t="s">
        <v>340</v>
      </c>
      <c r="AY78" s="24" t="s">
        <v>356</v>
      </c>
      <c r="AZ78" s="20" t="s">
        <v>369</v>
      </c>
      <c r="BB78" s="21">
        <f>AV78+AW78</f>
        <v>0</v>
      </c>
      <c r="BC78" s="21">
        <f>H78/(100-BD78)*100</f>
        <v>0</v>
      </c>
      <c r="BD78" s="21">
        <v>0</v>
      </c>
      <c r="BE78" s="21">
        <f>78</f>
        <v>78</v>
      </c>
      <c r="BG78" s="14">
        <f>G78*AN78</f>
        <v>0</v>
      </c>
      <c r="BH78" s="14">
        <f>G78*AO78</f>
        <v>0</v>
      </c>
      <c r="BI78" s="14">
        <f>G78*H78</f>
        <v>0</v>
      </c>
      <c r="BJ78" s="14" t="s">
        <v>164</v>
      </c>
      <c r="BK78" s="21">
        <v>711</v>
      </c>
    </row>
    <row r="79" spans="1:63" ht="12.75">
      <c r="A79" s="3" t="s">
        <v>54</v>
      </c>
      <c r="B79" s="9" t="s">
        <v>140</v>
      </c>
      <c r="C79" s="139" t="s">
        <v>238</v>
      </c>
      <c r="D79" s="140"/>
      <c r="E79" s="140"/>
      <c r="F79" s="9" t="s">
        <v>291</v>
      </c>
      <c r="G79" s="14">
        <v>107.4</v>
      </c>
      <c r="H79" s="14">
        <v>0</v>
      </c>
      <c r="I79" s="14">
        <f>G79*AN79</f>
        <v>0</v>
      </c>
      <c r="J79" s="14">
        <f>G79*AO79</f>
        <v>0</v>
      </c>
      <c r="K79" s="14">
        <f>G79*H79</f>
        <v>0</v>
      </c>
      <c r="L79" s="18"/>
      <c r="Y79" s="21">
        <f>IF(AP79="5",BI79,0)</f>
        <v>0</v>
      </c>
      <c r="AA79" s="21">
        <f>IF(AP79="1",BG79,0)</f>
        <v>0</v>
      </c>
      <c r="AB79" s="21">
        <f>IF(AP79="1",BH79,0)</f>
        <v>0</v>
      </c>
      <c r="AC79" s="21">
        <f>IF(AP79="7",BG79,0)</f>
        <v>0</v>
      </c>
      <c r="AD79" s="21">
        <f>IF(AP79="7",BH79,0)</f>
        <v>0</v>
      </c>
      <c r="AE79" s="21">
        <f>IF(AP79="2",BG79,0)</f>
        <v>0</v>
      </c>
      <c r="AF79" s="21">
        <f>IF(AP79="2",BH79,0)</f>
        <v>0</v>
      </c>
      <c r="AG79" s="21">
        <f>IF(AP79="0",BI79,0)</f>
        <v>0</v>
      </c>
      <c r="AH79" s="20" t="s">
        <v>324</v>
      </c>
      <c r="AI79" s="14">
        <f>IF(AM79=0,K79,0)</f>
        <v>0</v>
      </c>
      <c r="AJ79" s="14">
        <f>IF(AM79=15,K79,0)</f>
        <v>0</v>
      </c>
      <c r="AK79" s="14">
        <f>IF(AM79=21,K79,0)</f>
        <v>0</v>
      </c>
      <c r="AM79" s="21">
        <v>15</v>
      </c>
      <c r="AN79" s="21">
        <f>H79*0.236775362318841</f>
        <v>0</v>
      </c>
      <c r="AO79" s="21">
        <f>H79*(1-0.236775362318841)</f>
        <v>0</v>
      </c>
      <c r="AP79" s="22" t="s">
        <v>13</v>
      </c>
      <c r="AU79" s="21">
        <f>AV79+AW79</f>
        <v>0</v>
      </c>
      <c r="AV79" s="21">
        <f>G79*AN79</f>
        <v>0</v>
      </c>
      <c r="AW79" s="21">
        <f>G79*AO79</f>
        <v>0</v>
      </c>
      <c r="AX79" s="24" t="s">
        <v>340</v>
      </c>
      <c r="AY79" s="24" t="s">
        <v>356</v>
      </c>
      <c r="AZ79" s="20" t="s">
        <v>369</v>
      </c>
      <c r="BB79" s="21">
        <f>AV79+AW79</f>
        <v>0</v>
      </c>
      <c r="BC79" s="21">
        <f>H79/(100-BD79)*100</f>
        <v>0</v>
      </c>
      <c r="BD79" s="21">
        <v>0</v>
      </c>
      <c r="BE79" s="21">
        <f>79</f>
        <v>79</v>
      </c>
      <c r="BG79" s="14">
        <f>G79*AN79</f>
        <v>0</v>
      </c>
      <c r="BH79" s="14">
        <f>G79*AO79</f>
        <v>0</v>
      </c>
      <c r="BI79" s="14">
        <f>G79*H79</f>
        <v>0</v>
      </c>
      <c r="BJ79" s="14" t="s">
        <v>164</v>
      </c>
      <c r="BK79" s="21">
        <v>711</v>
      </c>
    </row>
    <row r="80" spans="1:63" ht="12.75">
      <c r="A80" s="3" t="s">
        <v>55</v>
      </c>
      <c r="B80" s="9" t="s">
        <v>141</v>
      </c>
      <c r="C80" s="139" t="s">
        <v>239</v>
      </c>
      <c r="D80" s="140"/>
      <c r="E80" s="140"/>
      <c r="F80" s="9" t="s">
        <v>291</v>
      </c>
      <c r="G80" s="14">
        <v>60.1</v>
      </c>
      <c r="H80" s="14">
        <v>0</v>
      </c>
      <c r="I80" s="14">
        <f>G80*AN80</f>
        <v>0</v>
      </c>
      <c r="J80" s="14">
        <f>G80*AO80</f>
        <v>0</v>
      </c>
      <c r="K80" s="14">
        <f>G80*H80</f>
        <v>0</v>
      </c>
      <c r="L80" s="18"/>
      <c r="Y80" s="21">
        <f>IF(AP80="5",BI80,0)</f>
        <v>0</v>
      </c>
      <c r="AA80" s="21">
        <f>IF(AP80="1",BG80,0)</f>
        <v>0</v>
      </c>
      <c r="AB80" s="21">
        <f>IF(AP80="1",BH80,0)</f>
        <v>0</v>
      </c>
      <c r="AC80" s="21">
        <f>IF(AP80="7",BG80,0)</f>
        <v>0</v>
      </c>
      <c r="AD80" s="21">
        <f>IF(AP80="7",BH80,0)</f>
        <v>0</v>
      </c>
      <c r="AE80" s="21">
        <f>IF(AP80="2",BG80,0)</f>
        <v>0</v>
      </c>
      <c r="AF80" s="21">
        <f>IF(AP80="2",BH80,0)</f>
        <v>0</v>
      </c>
      <c r="AG80" s="21">
        <f>IF(AP80="0",BI80,0)</f>
        <v>0</v>
      </c>
      <c r="AH80" s="20" t="s">
        <v>324</v>
      </c>
      <c r="AI80" s="14">
        <f>IF(AM80=0,K80,0)</f>
        <v>0</v>
      </c>
      <c r="AJ80" s="14">
        <f>IF(AM80=15,K80,0)</f>
        <v>0</v>
      </c>
      <c r="AK80" s="14">
        <f>IF(AM80=21,K80,0)</f>
        <v>0</v>
      </c>
      <c r="AM80" s="21">
        <v>15</v>
      </c>
      <c r="AN80" s="21">
        <f>H80*0.773695652173913</f>
        <v>0</v>
      </c>
      <c r="AO80" s="21">
        <f>H80*(1-0.773695652173913)</f>
        <v>0</v>
      </c>
      <c r="AP80" s="22" t="s">
        <v>13</v>
      </c>
      <c r="AU80" s="21">
        <f>AV80+AW80</f>
        <v>0</v>
      </c>
      <c r="AV80" s="21">
        <f>G80*AN80</f>
        <v>0</v>
      </c>
      <c r="AW80" s="21">
        <f>G80*AO80</f>
        <v>0</v>
      </c>
      <c r="AX80" s="24" t="s">
        <v>340</v>
      </c>
      <c r="AY80" s="24" t="s">
        <v>356</v>
      </c>
      <c r="AZ80" s="20" t="s">
        <v>369</v>
      </c>
      <c r="BB80" s="21">
        <f>AV80+AW80</f>
        <v>0</v>
      </c>
      <c r="BC80" s="21">
        <f>H80/(100-BD80)*100</f>
        <v>0</v>
      </c>
      <c r="BD80" s="21">
        <v>0</v>
      </c>
      <c r="BE80" s="21">
        <f>80</f>
        <v>80</v>
      </c>
      <c r="BG80" s="14">
        <f>G80*AN80</f>
        <v>0</v>
      </c>
      <c r="BH80" s="14">
        <f>G80*AO80</f>
        <v>0</v>
      </c>
      <c r="BI80" s="14">
        <f>G80*H80</f>
        <v>0</v>
      </c>
      <c r="BJ80" s="14" t="s">
        <v>164</v>
      </c>
      <c r="BK80" s="21">
        <v>711</v>
      </c>
    </row>
    <row r="81" spans="1:63" ht="12.75">
      <c r="A81" s="3" t="s">
        <v>56</v>
      </c>
      <c r="B81" s="9" t="s">
        <v>141</v>
      </c>
      <c r="C81" s="139" t="s">
        <v>240</v>
      </c>
      <c r="D81" s="140"/>
      <c r="E81" s="140"/>
      <c r="F81" s="9" t="s">
        <v>291</v>
      </c>
      <c r="G81" s="14">
        <v>107.4</v>
      </c>
      <c r="H81" s="14">
        <v>0</v>
      </c>
      <c r="I81" s="14">
        <f>G81*AN81</f>
        <v>0</v>
      </c>
      <c r="J81" s="14">
        <f>G81*AO81</f>
        <v>0</v>
      </c>
      <c r="K81" s="14">
        <f>G81*H81</f>
        <v>0</v>
      </c>
      <c r="L81" s="18"/>
      <c r="Y81" s="21">
        <f>IF(AP81="5",BI81,0)</f>
        <v>0</v>
      </c>
      <c r="AA81" s="21">
        <f>IF(AP81="1",BG81,0)</f>
        <v>0</v>
      </c>
      <c r="AB81" s="21">
        <f>IF(AP81="1",BH81,0)</f>
        <v>0</v>
      </c>
      <c r="AC81" s="21">
        <f>IF(AP81="7",BG81,0)</f>
        <v>0</v>
      </c>
      <c r="AD81" s="21">
        <f>IF(AP81="7",BH81,0)</f>
        <v>0</v>
      </c>
      <c r="AE81" s="21">
        <f>IF(AP81="2",BG81,0)</f>
        <v>0</v>
      </c>
      <c r="AF81" s="21">
        <f>IF(AP81="2",BH81,0)</f>
        <v>0</v>
      </c>
      <c r="AG81" s="21">
        <f>IF(AP81="0",BI81,0)</f>
        <v>0</v>
      </c>
      <c r="AH81" s="20" t="s">
        <v>324</v>
      </c>
      <c r="AI81" s="14">
        <f>IF(AM81=0,K81,0)</f>
        <v>0</v>
      </c>
      <c r="AJ81" s="14">
        <f>IF(AM81=15,K81,0)</f>
        <v>0</v>
      </c>
      <c r="AK81" s="14">
        <f>IF(AM81=21,K81,0)</f>
        <v>0</v>
      </c>
      <c r="AM81" s="21">
        <v>15</v>
      </c>
      <c r="AN81" s="21">
        <f>H81*0.773695652173913</f>
        <v>0</v>
      </c>
      <c r="AO81" s="21">
        <f>H81*(1-0.773695652173913)</f>
        <v>0</v>
      </c>
      <c r="AP81" s="22" t="s">
        <v>13</v>
      </c>
      <c r="AU81" s="21">
        <f>AV81+AW81</f>
        <v>0</v>
      </c>
      <c r="AV81" s="21">
        <f>G81*AN81</f>
        <v>0</v>
      </c>
      <c r="AW81" s="21">
        <f>G81*AO81</f>
        <v>0</v>
      </c>
      <c r="AX81" s="24" t="s">
        <v>340</v>
      </c>
      <c r="AY81" s="24" t="s">
        <v>356</v>
      </c>
      <c r="AZ81" s="20" t="s">
        <v>369</v>
      </c>
      <c r="BB81" s="21">
        <f>AV81+AW81</f>
        <v>0</v>
      </c>
      <c r="BC81" s="21">
        <f>H81/(100-BD81)*100</f>
        <v>0</v>
      </c>
      <c r="BD81" s="21">
        <v>0</v>
      </c>
      <c r="BE81" s="21">
        <f>81</f>
        <v>81</v>
      </c>
      <c r="BG81" s="14">
        <f>G81*AN81</f>
        <v>0</v>
      </c>
      <c r="BH81" s="14">
        <f>G81*AO81</f>
        <v>0</v>
      </c>
      <c r="BI81" s="14">
        <f>G81*H81</f>
        <v>0</v>
      </c>
      <c r="BJ81" s="14" t="s">
        <v>164</v>
      </c>
      <c r="BK81" s="21">
        <v>711</v>
      </c>
    </row>
    <row r="82" spans="1:63" ht="12.75">
      <c r="A82" s="3" t="s">
        <v>57</v>
      </c>
      <c r="B82" s="9" t="s">
        <v>142</v>
      </c>
      <c r="C82" s="139" t="s">
        <v>241</v>
      </c>
      <c r="D82" s="140"/>
      <c r="E82" s="140"/>
      <c r="F82" s="9" t="s">
        <v>293</v>
      </c>
      <c r="G82" s="14">
        <v>134</v>
      </c>
      <c r="H82" s="14">
        <v>0</v>
      </c>
      <c r="I82" s="14">
        <f>G82*AN82</f>
        <v>0</v>
      </c>
      <c r="J82" s="14">
        <f>G82*AO82</f>
        <v>0</v>
      </c>
      <c r="K82" s="14">
        <f>G82*H82</f>
        <v>0</v>
      </c>
      <c r="L82" s="18"/>
      <c r="Y82" s="21">
        <f>IF(AP82="5",BI82,0)</f>
        <v>0</v>
      </c>
      <c r="AA82" s="21">
        <f>IF(AP82="1",BG82,0)</f>
        <v>0</v>
      </c>
      <c r="AB82" s="21">
        <f>IF(AP82="1",BH82,0)</f>
        <v>0</v>
      </c>
      <c r="AC82" s="21">
        <f>IF(AP82="7",BG82,0)</f>
        <v>0</v>
      </c>
      <c r="AD82" s="21">
        <f>IF(AP82="7",BH82,0)</f>
        <v>0</v>
      </c>
      <c r="AE82" s="21">
        <f>IF(AP82="2",BG82,0)</f>
        <v>0</v>
      </c>
      <c r="AF82" s="21">
        <f>IF(AP82="2",BH82,0)</f>
        <v>0</v>
      </c>
      <c r="AG82" s="21">
        <f>IF(AP82="0",BI82,0)</f>
        <v>0</v>
      </c>
      <c r="AH82" s="20" t="s">
        <v>324</v>
      </c>
      <c r="AI82" s="14">
        <f>IF(AM82=0,K82,0)</f>
        <v>0</v>
      </c>
      <c r="AJ82" s="14">
        <f>IF(AM82=15,K82,0)</f>
        <v>0</v>
      </c>
      <c r="AK82" s="14">
        <f>IF(AM82=21,K82,0)</f>
        <v>0</v>
      </c>
      <c r="AM82" s="21">
        <v>15</v>
      </c>
      <c r="AN82" s="21">
        <f>H82*0.617467248908297</f>
        <v>0</v>
      </c>
      <c r="AO82" s="21">
        <f>H82*(1-0.617467248908297)</f>
        <v>0</v>
      </c>
      <c r="AP82" s="22" t="s">
        <v>13</v>
      </c>
      <c r="AU82" s="21">
        <f>AV82+AW82</f>
        <v>0</v>
      </c>
      <c r="AV82" s="21">
        <f>G82*AN82</f>
        <v>0</v>
      </c>
      <c r="AW82" s="21">
        <f>G82*AO82</f>
        <v>0</v>
      </c>
      <c r="AX82" s="24" t="s">
        <v>340</v>
      </c>
      <c r="AY82" s="24" t="s">
        <v>356</v>
      </c>
      <c r="AZ82" s="20" t="s">
        <v>369</v>
      </c>
      <c r="BB82" s="21">
        <f>AV82+AW82</f>
        <v>0</v>
      </c>
      <c r="BC82" s="21">
        <f>H82/(100-BD82)*100</f>
        <v>0</v>
      </c>
      <c r="BD82" s="21">
        <v>0</v>
      </c>
      <c r="BE82" s="21">
        <f>82</f>
        <v>82</v>
      </c>
      <c r="BG82" s="14">
        <f>G82*AN82</f>
        <v>0</v>
      </c>
      <c r="BH82" s="14">
        <f>G82*AO82</f>
        <v>0</v>
      </c>
      <c r="BI82" s="14">
        <f>G82*H82</f>
        <v>0</v>
      </c>
      <c r="BJ82" s="14" t="s">
        <v>164</v>
      </c>
      <c r="BK82" s="21">
        <v>711</v>
      </c>
    </row>
    <row r="83" spans="1:12" ht="12.75">
      <c r="A83" s="65"/>
      <c r="B83" s="66"/>
      <c r="C83" s="143" t="s">
        <v>242</v>
      </c>
      <c r="D83" s="144"/>
      <c r="E83" s="145"/>
      <c r="F83" s="65" t="s">
        <v>6</v>
      </c>
      <c r="G83" s="65" t="s">
        <v>6</v>
      </c>
      <c r="H83" s="65" t="s">
        <v>6</v>
      </c>
      <c r="I83" s="67">
        <f>I84+I91</f>
        <v>0</v>
      </c>
      <c r="J83" s="67">
        <f>J84+J91</f>
        <v>0</v>
      </c>
      <c r="K83" s="67">
        <f>K84+K91</f>
        <v>0</v>
      </c>
      <c r="L83" s="61"/>
    </row>
    <row r="84" spans="1:46" ht="12.75">
      <c r="A84" s="2"/>
      <c r="B84" s="8" t="s">
        <v>143</v>
      </c>
      <c r="C84" s="137" t="s">
        <v>243</v>
      </c>
      <c r="D84" s="138"/>
      <c r="E84" s="138"/>
      <c r="F84" s="12" t="s">
        <v>6</v>
      </c>
      <c r="G84" s="12" t="s">
        <v>6</v>
      </c>
      <c r="H84" s="12" t="s">
        <v>6</v>
      </c>
      <c r="I84" s="26">
        <f>SUM(I85:I90)</f>
        <v>0</v>
      </c>
      <c r="J84" s="26">
        <f>SUM(J85:J90)</f>
        <v>0</v>
      </c>
      <c r="K84" s="26">
        <f>SUM(K85:K90)</f>
        <v>0</v>
      </c>
      <c r="L84" s="18"/>
      <c r="AH84" s="20" t="s">
        <v>325</v>
      </c>
      <c r="AR84" s="26">
        <f>SUM(AI85:AI90)</f>
        <v>0</v>
      </c>
      <c r="AS84" s="26">
        <f>SUM(AJ85:AJ90)</f>
        <v>0</v>
      </c>
      <c r="AT84" s="26">
        <f>SUM(AK85:AK90)</f>
        <v>0</v>
      </c>
    </row>
    <row r="85" spans="1:63" ht="12.75">
      <c r="A85" s="3" t="s">
        <v>58</v>
      </c>
      <c r="B85" s="9" t="s">
        <v>144</v>
      </c>
      <c r="C85" s="139" t="s">
        <v>244</v>
      </c>
      <c r="D85" s="140"/>
      <c r="E85" s="140"/>
      <c r="F85" s="9" t="s">
        <v>291</v>
      </c>
      <c r="G85" s="14">
        <v>162.9</v>
      </c>
      <c r="H85" s="14">
        <v>0</v>
      </c>
      <c r="I85" s="14">
        <f aca="true" t="shared" si="66" ref="I85:I90">G85*AN85</f>
        <v>0</v>
      </c>
      <c r="J85" s="14">
        <f aca="true" t="shared" si="67" ref="J85:J90">G85*AO85</f>
        <v>0</v>
      </c>
      <c r="K85" s="14">
        <f aca="true" t="shared" si="68" ref="K85:K90">G85*H85</f>
        <v>0</v>
      </c>
      <c r="L85" s="18"/>
      <c r="Y85" s="21">
        <f aca="true" t="shared" si="69" ref="Y85:Y90">IF(AP85="5",BI85,0)</f>
        <v>0</v>
      </c>
      <c r="AA85" s="21">
        <f aca="true" t="shared" si="70" ref="AA85:AA90">IF(AP85="1",BG85,0)</f>
        <v>0</v>
      </c>
      <c r="AB85" s="21">
        <f aca="true" t="shared" si="71" ref="AB85:AB90">IF(AP85="1",BH85,0)</f>
        <v>0</v>
      </c>
      <c r="AC85" s="21">
        <f aca="true" t="shared" si="72" ref="AC85:AC90">IF(AP85="7",BG85,0)</f>
        <v>0</v>
      </c>
      <c r="AD85" s="21">
        <f aca="true" t="shared" si="73" ref="AD85:AD90">IF(AP85="7",BH85,0)</f>
        <v>0</v>
      </c>
      <c r="AE85" s="21">
        <f aca="true" t="shared" si="74" ref="AE85:AE90">IF(AP85="2",BG85,0)</f>
        <v>0</v>
      </c>
      <c r="AF85" s="21">
        <f aca="true" t="shared" si="75" ref="AF85:AF90">IF(AP85="2",BH85,0)</f>
        <v>0</v>
      </c>
      <c r="AG85" s="21">
        <f aca="true" t="shared" si="76" ref="AG85:AG90">IF(AP85="0",BI85,0)</f>
        <v>0</v>
      </c>
      <c r="AH85" s="20" t="s">
        <v>325</v>
      </c>
      <c r="AI85" s="14">
        <f aca="true" t="shared" si="77" ref="AI85:AI90">IF(AM85=0,K85,0)</f>
        <v>0</v>
      </c>
      <c r="AJ85" s="14">
        <f aca="true" t="shared" si="78" ref="AJ85:AJ90">IF(AM85=15,K85,0)</f>
        <v>0</v>
      </c>
      <c r="AK85" s="14">
        <f aca="true" t="shared" si="79" ref="AK85:AK90">IF(AM85=21,K85,0)</f>
        <v>0</v>
      </c>
      <c r="AM85" s="21">
        <v>15</v>
      </c>
      <c r="AN85" s="21">
        <f>H85*0</f>
        <v>0</v>
      </c>
      <c r="AO85" s="21">
        <f>H85*(1-0)</f>
        <v>0</v>
      </c>
      <c r="AP85" s="22" t="s">
        <v>13</v>
      </c>
      <c r="AU85" s="21">
        <f aca="true" t="shared" si="80" ref="AU85:AU90">AV85+AW85</f>
        <v>0</v>
      </c>
      <c r="AV85" s="21">
        <f aca="true" t="shared" si="81" ref="AV85:AV90">G85*AN85</f>
        <v>0</v>
      </c>
      <c r="AW85" s="21">
        <f aca="true" t="shared" si="82" ref="AW85:AW90">G85*AO85</f>
        <v>0</v>
      </c>
      <c r="AX85" s="24" t="s">
        <v>341</v>
      </c>
      <c r="AY85" s="24" t="s">
        <v>357</v>
      </c>
      <c r="AZ85" s="20" t="s">
        <v>370</v>
      </c>
      <c r="BB85" s="21">
        <f aca="true" t="shared" si="83" ref="BB85:BB90">AV85+AW85</f>
        <v>0</v>
      </c>
      <c r="BC85" s="21">
        <f aca="true" t="shared" si="84" ref="BC85:BC90">H85/(100-BD85)*100</f>
        <v>0</v>
      </c>
      <c r="BD85" s="21">
        <v>0</v>
      </c>
      <c r="BE85" s="21">
        <f>85</f>
        <v>85</v>
      </c>
      <c r="BG85" s="14">
        <f aca="true" t="shared" si="85" ref="BG85:BG90">G85*AN85</f>
        <v>0</v>
      </c>
      <c r="BH85" s="14">
        <f aca="true" t="shared" si="86" ref="BH85:BH90">G85*AO85</f>
        <v>0</v>
      </c>
      <c r="BI85" s="14">
        <f aca="true" t="shared" si="87" ref="BI85:BI90">G85*H85</f>
        <v>0</v>
      </c>
      <c r="BJ85" s="14" t="s">
        <v>164</v>
      </c>
      <c r="BK85" s="21">
        <v>771</v>
      </c>
    </row>
    <row r="86" spans="1:63" ht="12.75">
      <c r="A86" s="3" t="s">
        <v>59</v>
      </c>
      <c r="B86" s="9" t="s">
        <v>145</v>
      </c>
      <c r="C86" s="139" t="s">
        <v>245</v>
      </c>
      <c r="D86" s="140"/>
      <c r="E86" s="140"/>
      <c r="F86" s="9" t="s">
        <v>291</v>
      </c>
      <c r="G86" s="14">
        <v>162.9</v>
      </c>
      <c r="H86" s="14">
        <v>0</v>
      </c>
      <c r="I86" s="14">
        <f t="shared" si="66"/>
        <v>0</v>
      </c>
      <c r="J86" s="14">
        <f t="shared" si="67"/>
        <v>0</v>
      </c>
      <c r="K86" s="14">
        <f t="shared" si="68"/>
        <v>0</v>
      </c>
      <c r="L86" s="18"/>
      <c r="Y86" s="21">
        <f t="shared" si="69"/>
        <v>0</v>
      </c>
      <c r="AA86" s="21">
        <f t="shared" si="70"/>
        <v>0</v>
      </c>
      <c r="AB86" s="21">
        <f t="shared" si="71"/>
        <v>0</v>
      </c>
      <c r="AC86" s="21">
        <f t="shared" si="72"/>
        <v>0</v>
      </c>
      <c r="AD86" s="21">
        <f t="shared" si="73"/>
        <v>0</v>
      </c>
      <c r="AE86" s="21">
        <f t="shared" si="74"/>
        <v>0</v>
      </c>
      <c r="AF86" s="21">
        <f t="shared" si="75"/>
        <v>0</v>
      </c>
      <c r="AG86" s="21">
        <f t="shared" si="76"/>
        <v>0</v>
      </c>
      <c r="AH86" s="20" t="s">
        <v>325</v>
      </c>
      <c r="AI86" s="14">
        <f t="shared" si="77"/>
        <v>0</v>
      </c>
      <c r="AJ86" s="14">
        <f t="shared" si="78"/>
        <v>0</v>
      </c>
      <c r="AK86" s="14">
        <f t="shared" si="79"/>
        <v>0</v>
      </c>
      <c r="AM86" s="21">
        <v>15</v>
      </c>
      <c r="AN86" s="21">
        <f>H86*0.180071332275295</f>
        <v>0</v>
      </c>
      <c r="AO86" s="21">
        <f>H86*(1-0.180071332275295)</f>
        <v>0</v>
      </c>
      <c r="AP86" s="22" t="s">
        <v>13</v>
      </c>
      <c r="AU86" s="21">
        <f t="shared" si="80"/>
        <v>0</v>
      </c>
      <c r="AV86" s="21">
        <f t="shared" si="81"/>
        <v>0</v>
      </c>
      <c r="AW86" s="21">
        <f t="shared" si="82"/>
        <v>0</v>
      </c>
      <c r="AX86" s="24" t="s">
        <v>341</v>
      </c>
      <c r="AY86" s="24" t="s">
        <v>357</v>
      </c>
      <c r="AZ86" s="20" t="s">
        <v>370</v>
      </c>
      <c r="BB86" s="21">
        <f t="shared" si="83"/>
        <v>0</v>
      </c>
      <c r="BC86" s="21">
        <f t="shared" si="84"/>
        <v>0</v>
      </c>
      <c r="BD86" s="21">
        <v>0</v>
      </c>
      <c r="BE86" s="21">
        <f>86</f>
        <v>86</v>
      </c>
      <c r="BG86" s="14">
        <f t="shared" si="85"/>
        <v>0</v>
      </c>
      <c r="BH86" s="14">
        <f t="shared" si="86"/>
        <v>0</v>
      </c>
      <c r="BI86" s="14">
        <f t="shared" si="87"/>
        <v>0</v>
      </c>
      <c r="BJ86" s="14" t="s">
        <v>164</v>
      </c>
      <c r="BK86" s="21">
        <v>771</v>
      </c>
    </row>
    <row r="87" spans="1:63" ht="12.75">
      <c r="A87" s="62" t="s">
        <v>60</v>
      </c>
      <c r="B87" s="63" t="s">
        <v>146</v>
      </c>
      <c r="C87" s="141" t="s">
        <v>246</v>
      </c>
      <c r="D87" s="142"/>
      <c r="E87" s="142"/>
      <c r="F87" s="63" t="s">
        <v>291</v>
      </c>
      <c r="G87" s="64">
        <v>30.24</v>
      </c>
      <c r="H87" s="64">
        <v>0</v>
      </c>
      <c r="I87" s="64">
        <f t="shared" si="66"/>
        <v>0</v>
      </c>
      <c r="J87" s="64">
        <f t="shared" si="67"/>
        <v>0</v>
      </c>
      <c r="K87" s="64">
        <f t="shared" si="68"/>
        <v>0</v>
      </c>
      <c r="L87" s="18"/>
      <c r="Y87" s="21">
        <f t="shared" si="69"/>
        <v>0</v>
      </c>
      <c r="AA87" s="21">
        <f t="shared" si="70"/>
        <v>0</v>
      </c>
      <c r="AB87" s="21">
        <f t="shared" si="71"/>
        <v>0</v>
      </c>
      <c r="AC87" s="21">
        <f t="shared" si="72"/>
        <v>0</v>
      </c>
      <c r="AD87" s="21">
        <f t="shared" si="73"/>
        <v>0</v>
      </c>
      <c r="AE87" s="21">
        <f t="shared" si="74"/>
        <v>0</v>
      </c>
      <c r="AF87" s="21">
        <f t="shared" si="75"/>
        <v>0</v>
      </c>
      <c r="AG87" s="21">
        <f t="shared" si="76"/>
        <v>0</v>
      </c>
      <c r="AH87" s="20" t="s">
        <v>325</v>
      </c>
      <c r="AI87" s="15">
        <f t="shared" si="77"/>
        <v>0</v>
      </c>
      <c r="AJ87" s="15">
        <f t="shared" si="78"/>
        <v>0</v>
      </c>
      <c r="AK87" s="15">
        <f t="shared" si="79"/>
        <v>0</v>
      </c>
      <c r="AM87" s="21">
        <v>15</v>
      </c>
      <c r="AN87" s="21">
        <f>H87*1</f>
        <v>0</v>
      </c>
      <c r="AO87" s="21">
        <f>H87*(1-1)</f>
        <v>0</v>
      </c>
      <c r="AP87" s="23" t="s">
        <v>13</v>
      </c>
      <c r="AU87" s="21">
        <f t="shared" si="80"/>
        <v>0</v>
      </c>
      <c r="AV87" s="21">
        <f t="shared" si="81"/>
        <v>0</v>
      </c>
      <c r="AW87" s="21">
        <f t="shared" si="82"/>
        <v>0</v>
      </c>
      <c r="AX87" s="24" t="s">
        <v>341</v>
      </c>
      <c r="AY87" s="24" t="s">
        <v>357</v>
      </c>
      <c r="AZ87" s="20" t="s">
        <v>370</v>
      </c>
      <c r="BB87" s="21">
        <f t="shared" si="83"/>
        <v>0</v>
      </c>
      <c r="BC87" s="21">
        <f t="shared" si="84"/>
        <v>0</v>
      </c>
      <c r="BD87" s="21">
        <v>0</v>
      </c>
      <c r="BE87" s="21">
        <f>87</f>
        <v>87</v>
      </c>
      <c r="BG87" s="15">
        <f t="shared" si="85"/>
        <v>0</v>
      </c>
      <c r="BH87" s="15">
        <f t="shared" si="86"/>
        <v>0</v>
      </c>
      <c r="BI87" s="15">
        <f t="shared" si="87"/>
        <v>0</v>
      </c>
      <c r="BJ87" s="15" t="s">
        <v>379</v>
      </c>
      <c r="BK87" s="21">
        <v>771</v>
      </c>
    </row>
    <row r="88" spans="1:63" ht="12.75">
      <c r="A88" s="62" t="s">
        <v>61</v>
      </c>
      <c r="B88" s="63" t="s">
        <v>146</v>
      </c>
      <c r="C88" s="141" t="s">
        <v>247</v>
      </c>
      <c r="D88" s="142"/>
      <c r="E88" s="142"/>
      <c r="F88" s="63" t="s">
        <v>291</v>
      </c>
      <c r="G88" s="64">
        <v>38.88</v>
      </c>
      <c r="H88" s="64">
        <v>0</v>
      </c>
      <c r="I88" s="64">
        <f t="shared" si="66"/>
        <v>0</v>
      </c>
      <c r="J88" s="64">
        <f t="shared" si="67"/>
        <v>0</v>
      </c>
      <c r="K88" s="64">
        <f t="shared" si="68"/>
        <v>0</v>
      </c>
      <c r="L88" s="18"/>
      <c r="Y88" s="21">
        <f t="shared" si="69"/>
        <v>0</v>
      </c>
      <c r="AA88" s="21">
        <f t="shared" si="70"/>
        <v>0</v>
      </c>
      <c r="AB88" s="21">
        <f t="shared" si="71"/>
        <v>0</v>
      </c>
      <c r="AC88" s="21">
        <f t="shared" si="72"/>
        <v>0</v>
      </c>
      <c r="AD88" s="21">
        <f t="shared" si="73"/>
        <v>0</v>
      </c>
      <c r="AE88" s="21">
        <f t="shared" si="74"/>
        <v>0</v>
      </c>
      <c r="AF88" s="21">
        <f t="shared" si="75"/>
        <v>0</v>
      </c>
      <c r="AG88" s="21">
        <f t="shared" si="76"/>
        <v>0</v>
      </c>
      <c r="AH88" s="20" t="s">
        <v>325</v>
      </c>
      <c r="AI88" s="15">
        <f t="shared" si="77"/>
        <v>0</v>
      </c>
      <c r="AJ88" s="15">
        <f t="shared" si="78"/>
        <v>0</v>
      </c>
      <c r="AK88" s="15">
        <f t="shared" si="79"/>
        <v>0</v>
      </c>
      <c r="AM88" s="21">
        <v>15</v>
      </c>
      <c r="AN88" s="21">
        <f>H88*1</f>
        <v>0</v>
      </c>
      <c r="AO88" s="21">
        <f>H88*(1-1)</f>
        <v>0</v>
      </c>
      <c r="AP88" s="23" t="s">
        <v>13</v>
      </c>
      <c r="AU88" s="21">
        <f t="shared" si="80"/>
        <v>0</v>
      </c>
      <c r="AV88" s="21">
        <f t="shared" si="81"/>
        <v>0</v>
      </c>
      <c r="AW88" s="21">
        <f t="shared" si="82"/>
        <v>0</v>
      </c>
      <c r="AX88" s="24" t="s">
        <v>341</v>
      </c>
      <c r="AY88" s="24" t="s">
        <v>357</v>
      </c>
      <c r="AZ88" s="20" t="s">
        <v>370</v>
      </c>
      <c r="BB88" s="21">
        <f t="shared" si="83"/>
        <v>0</v>
      </c>
      <c r="BC88" s="21">
        <f t="shared" si="84"/>
        <v>0</v>
      </c>
      <c r="BD88" s="21">
        <v>0</v>
      </c>
      <c r="BE88" s="21">
        <f>88</f>
        <v>88</v>
      </c>
      <c r="BG88" s="15">
        <f t="shared" si="85"/>
        <v>0</v>
      </c>
      <c r="BH88" s="15">
        <f t="shared" si="86"/>
        <v>0</v>
      </c>
      <c r="BI88" s="15">
        <f t="shared" si="87"/>
        <v>0</v>
      </c>
      <c r="BJ88" s="15" t="s">
        <v>379</v>
      </c>
      <c r="BK88" s="21">
        <v>771</v>
      </c>
    </row>
    <row r="89" spans="1:63" ht="12.75">
      <c r="A89" s="62" t="s">
        <v>62</v>
      </c>
      <c r="B89" s="63" t="s">
        <v>146</v>
      </c>
      <c r="C89" s="141" t="s">
        <v>248</v>
      </c>
      <c r="D89" s="142"/>
      <c r="E89" s="142"/>
      <c r="F89" s="63" t="s">
        <v>291</v>
      </c>
      <c r="G89" s="64">
        <v>110.8</v>
      </c>
      <c r="H89" s="64">
        <v>0</v>
      </c>
      <c r="I89" s="64">
        <f t="shared" si="66"/>
        <v>0</v>
      </c>
      <c r="J89" s="64">
        <f t="shared" si="67"/>
        <v>0</v>
      </c>
      <c r="K89" s="64">
        <f t="shared" si="68"/>
        <v>0</v>
      </c>
      <c r="L89" s="18"/>
      <c r="Y89" s="21">
        <f t="shared" si="69"/>
        <v>0</v>
      </c>
      <c r="AA89" s="21">
        <f t="shared" si="70"/>
        <v>0</v>
      </c>
      <c r="AB89" s="21">
        <f t="shared" si="71"/>
        <v>0</v>
      </c>
      <c r="AC89" s="21">
        <f t="shared" si="72"/>
        <v>0</v>
      </c>
      <c r="AD89" s="21">
        <f t="shared" si="73"/>
        <v>0</v>
      </c>
      <c r="AE89" s="21">
        <f t="shared" si="74"/>
        <v>0</v>
      </c>
      <c r="AF89" s="21">
        <f t="shared" si="75"/>
        <v>0</v>
      </c>
      <c r="AG89" s="21">
        <f t="shared" si="76"/>
        <v>0</v>
      </c>
      <c r="AH89" s="20" t="s">
        <v>325</v>
      </c>
      <c r="AI89" s="15">
        <f t="shared" si="77"/>
        <v>0</v>
      </c>
      <c r="AJ89" s="15">
        <f t="shared" si="78"/>
        <v>0</v>
      </c>
      <c r="AK89" s="15">
        <f t="shared" si="79"/>
        <v>0</v>
      </c>
      <c r="AM89" s="21">
        <v>15</v>
      </c>
      <c r="AN89" s="21">
        <f>H89*1</f>
        <v>0</v>
      </c>
      <c r="AO89" s="21">
        <f>H89*(1-1)</f>
        <v>0</v>
      </c>
      <c r="AP89" s="23" t="s">
        <v>13</v>
      </c>
      <c r="AU89" s="21">
        <f t="shared" si="80"/>
        <v>0</v>
      </c>
      <c r="AV89" s="21">
        <f t="shared" si="81"/>
        <v>0</v>
      </c>
      <c r="AW89" s="21">
        <f t="shared" si="82"/>
        <v>0</v>
      </c>
      <c r="AX89" s="24" t="s">
        <v>341</v>
      </c>
      <c r="AY89" s="24" t="s">
        <v>357</v>
      </c>
      <c r="AZ89" s="20" t="s">
        <v>370</v>
      </c>
      <c r="BB89" s="21">
        <f t="shared" si="83"/>
        <v>0</v>
      </c>
      <c r="BC89" s="21">
        <f t="shared" si="84"/>
        <v>0</v>
      </c>
      <c r="BD89" s="21">
        <v>0</v>
      </c>
      <c r="BE89" s="21">
        <f>89</f>
        <v>89</v>
      </c>
      <c r="BG89" s="15">
        <f t="shared" si="85"/>
        <v>0</v>
      </c>
      <c r="BH89" s="15">
        <f t="shared" si="86"/>
        <v>0</v>
      </c>
      <c r="BI89" s="15">
        <f t="shared" si="87"/>
        <v>0</v>
      </c>
      <c r="BJ89" s="15" t="s">
        <v>379</v>
      </c>
      <c r="BK89" s="21">
        <v>771</v>
      </c>
    </row>
    <row r="90" spans="1:63" ht="12.75">
      <c r="A90" s="3" t="s">
        <v>63</v>
      </c>
      <c r="B90" s="9" t="s">
        <v>147</v>
      </c>
      <c r="C90" s="139" t="s">
        <v>249</v>
      </c>
      <c r="D90" s="140"/>
      <c r="E90" s="140"/>
      <c r="F90" s="9" t="s">
        <v>293</v>
      </c>
      <c r="G90" s="14">
        <v>5.4</v>
      </c>
      <c r="H90" s="14">
        <v>0</v>
      </c>
      <c r="I90" s="14">
        <f t="shared" si="66"/>
        <v>0</v>
      </c>
      <c r="J90" s="14">
        <f t="shared" si="67"/>
        <v>0</v>
      </c>
      <c r="K90" s="14">
        <f t="shared" si="68"/>
        <v>0</v>
      </c>
      <c r="L90" s="18"/>
      <c r="Y90" s="21">
        <f t="shared" si="69"/>
        <v>0</v>
      </c>
      <c r="AA90" s="21">
        <f t="shared" si="70"/>
        <v>0</v>
      </c>
      <c r="AB90" s="21">
        <f t="shared" si="71"/>
        <v>0</v>
      </c>
      <c r="AC90" s="21">
        <f t="shared" si="72"/>
        <v>0</v>
      </c>
      <c r="AD90" s="21">
        <f t="shared" si="73"/>
        <v>0</v>
      </c>
      <c r="AE90" s="21">
        <f t="shared" si="74"/>
        <v>0</v>
      </c>
      <c r="AF90" s="21">
        <f t="shared" si="75"/>
        <v>0</v>
      </c>
      <c r="AG90" s="21">
        <f t="shared" si="76"/>
        <v>0</v>
      </c>
      <c r="AH90" s="20" t="s">
        <v>325</v>
      </c>
      <c r="AI90" s="14">
        <f t="shared" si="77"/>
        <v>0</v>
      </c>
      <c r="AJ90" s="14">
        <f t="shared" si="78"/>
        <v>0</v>
      </c>
      <c r="AK90" s="14">
        <f t="shared" si="79"/>
        <v>0</v>
      </c>
      <c r="AM90" s="21">
        <v>15</v>
      </c>
      <c r="AN90" s="21">
        <f>H90*0</f>
        <v>0</v>
      </c>
      <c r="AO90" s="21">
        <f>H90*(1-0)</f>
        <v>0</v>
      </c>
      <c r="AP90" s="22" t="s">
        <v>13</v>
      </c>
      <c r="AU90" s="21">
        <f t="shared" si="80"/>
        <v>0</v>
      </c>
      <c r="AV90" s="21">
        <f t="shared" si="81"/>
        <v>0</v>
      </c>
      <c r="AW90" s="21">
        <f t="shared" si="82"/>
        <v>0</v>
      </c>
      <c r="AX90" s="24" t="s">
        <v>341</v>
      </c>
      <c r="AY90" s="24" t="s">
        <v>357</v>
      </c>
      <c r="AZ90" s="20" t="s">
        <v>370</v>
      </c>
      <c r="BB90" s="21">
        <f t="shared" si="83"/>
        <v>0</v>
      </c>
      <c r="BC90" s="21">
        <f t="shared" si="84"/>
        <v>0</v>
      </c>
      <c r="BD90" s="21">
        <v>0</v>
      </c>
      <c r="BE90" s="21">
        <f>90</f>
        <v>90</v>
      </c>
      <c r="BG90" s="14">
        <f t="shared" si="85"/>
        <v>0</v>
      </c>
      <c r="BH90" s="14">
        <f t="shared" si="86"/>
        <v>0</v>
      </c>
      <c r="BI90" s="14">
        <f t="shared" si="87"/>
        <v>0</v>
      </c>
      <c r="BJ90" s="14" t="s">
        <v>164</v>
      </c>
      <c r="BK90" s="21">
        <v>771</v>
      </c>
    </row>
    <row r="91" spans="1:46" ht="12.75">
      <c r="A91" s="2"/>
      <c r="B91" s="8" t="s">
        <v>148</v>
      </c>
      <c r="C91" s="137" t="s">
        <v>250</v>
      </c>
      <c r="D91" s="138"/>
      <c r="E91" s="138"/>
      <c r="F91" s="12" t="s">
        <v>6</v>
      </c>
      <c r="G91" s="12" t="s">
        <v>6</v>
      </c>
      <c r="H91" s="12" t="s">
        <v>6</v>
      </c>
      <c r="I91" s="26">
        <f>SUM(I92:I100)</f>
        <v>0</v>
      </c>
      <c r="J91" s="26">
        <f>SUM(J92:J100)</f>
        <v>0</v>
      </c>
      <c r="K91" s="26">
        <f>SUM(K92:K100)</f>
        <v>0</v>
      </c>
      <c r="L91" s="18"/>
      <c r="AH91" s="20" t="s">
        <v>325</v>
      </c>
      <c r="AR91" s="26">
        <f>SUM(AI92:AI100)</f>
        <v>0</v>
      </c>
      <c r="AS91" s="26">
        <f>SUM(AJ92:AJ100)</f>
        <v>0</v>
      </c>
      <c r="AT91" s="26">
        <f>SUM(AK92:AK100)</f>
        <v>0</v>
      </c>
    </row>
    <row r="92" spans="1:63" ht="12.75">
      <c r="A92" s="3" t="s">
        <v>64</v>
      </c>
      <c r="B92" s="9" t="s">
        <v>149</v>
      </c>
      <c r="C92" s="139" t="s">
        <v>251</v>
      </c>
      <c r="D92" s="140"/>
      <c r="E92" s="140"/>
      <c r="F92" s="9" t="s">
        <v>291</v>
      </c>
      <c r="G92" s="14">
        <v>198</v>
      </c>
      <c r="H92" s="14">
        <v>0</v>
      </c>
      <c r="I92" s="14">
        <f aca="true" t="shared" si="88" ref="I92:I100">G92*AN92</f>
        <v>0</v>
      </c>
      <c r="J92" s="14">
        <f aca="true" t="shared" si="89" ref="J92:J100">G92*AO92</f>
        <v>0</v>
      </c>
      <c r="K92" s="14">
        <f aca="true" t="shared" si="90" ref="K92:K100">G92*H92</f>
        <v>0</v>
      </c>
      <c r="L92" s="18"/>
      <c r="Y92" s="21">
        <f aca="true" t="shared" si="91" ref="Y92:Y100">IF(AP92="5",BI92,0)</f>
        <v>0</v>
      </c>
      <c r="AA92" s="21">
        <f aca="true" t="shared" si="92" ref="AA92:AA100">IF(AP92="1",BG92,0)</f>
        <v>0</v>
      </c>
      <c r="AB92" s="21">
        <f aca="true" t="shared" si="93" ref="AB92:AB100">IF(AP92="1",BH92,0)</f>
        <v>0</v>
      </c>
      <c r="AC92" s="21">
        <f aca="true" t="shared" si="94" ref="AC92:AC100">IF(AP92="7",BG92,0)</f>
        <v>0</v>
      </c>
      <c r="AD92" s="21">
        <f aca="true" t="shared" si="95" ref="AD92:AD100">IF(AP92="7",BH92,0)</f>
        <v>0</v>
      </c>
      <c r="AE92" s="21">
        <f aca="true" t="shared" si="96" ref="AE92:AE100">IF(AP92="2",BG92,0)</f>
        <v>0</v>
      </c>
      <c r="AF92" s="21">
        <f aca="true" t="shared" si="97" ref="AF92:AF100">IF(AP92="2",BH92,0)</f>
        <v>0</v>
      </c>
      <c r="AG92" s="21">
        <f aca="true" t="shared" si="98" ref="AG92:AG100">IF(AP92="0",BI92,0)</f>
        <v>0</v>
      </c>
      <c r="AH92" s="20" t="s">
        <v>325</v>
      </c>
      <c r="AI92" s="14">
        <f aca="true" t="shared" si="99" ref="AI92:AI100">IF(AM92=0,K92,0)</f>
        <v>0</v>
      </c>
      <c r="AJ92" s="14">
        <f aca="true" t="shared" si="100" ref="AJ92:AJ100">IF(AM92=15,K92,0)</f>
        <v>0</v>
      </c>
      <c r="AK92" s="14">
        <f aca="true" t="shared" si="101" ref="AK92:AK100">IF(AM92=21,K92,0)</f>
        <v>0</v>
      </c>
      <c r="AM92" s="21">
        <v>15</v>
      </c>
      <c r="AN92" s="21">
        <f>H92*0.137277108433735</f>
        <v>0</v>
      </c>
      <c r="AO92" s="21">
        <f>H92*(1-0.137277108433735)</f>
        <v>0</v>
      </c>
      <c r="AP92" s="22" t="s">
        <v>13</v>
      </c>
      <c r="AU92" s="21">
        <f aca="true" t="shared" si="102" ref="AU92:AU100">AV92+AW92</f>
        <v>0</v>
      </c>
      <c r="AV92" s="21">
        <f aca="true" t="shared" si="103" ref="AV92:AV100">G92*AN92</f>
        <v>0</v>
      </c>
      <c r="AW92" s="21">
        <f aca="true" t="shared" si="104" ref="AW92:AW100">G92*AO92</f>
        <v>0</v>
      </c>
      <c r="AX92" s="24" t="s">
        <v>342</v>
      </c>
      <c r="AY92" s="24" t="s">
        <v>358</v>
      </c>
      <c r="AZ92" s="20" t="s">
        <v>370</v>
      </c>
      <c r="BB92" s="21">
        <f aca="true" t="shared" si="105" ref="BB92:BB100">AV92+AW92</f>
        <v>0</v>
      </c>
      <c r="BC92" s="21">
        <f aca="true" t="shared" si="106" ref="BC92:BC100">H92/(100-BD92)*100</f>
        <v>0</v>
      </c>
      <c r="BD92" s="21">
        <v>0</v>
      </c>
      <c r="BE92" s="21">
        <f>92</f>
        <v>92</v>
      </c>
      <c r="BG92" s="14">
        <f aca="true" t="shared" si="107" ref="BG92:BG100">G92*AN92</f>
        <v>0</v>
      </c>
      <c r="BH92" s="14">
        <f aca="true" t="shared" si="108" ref="BH92:BH100">G92*AO92</f>
        <v>0</v>
      </c>
      <c r="BI92" s="14">
        <f aca="true" t="shared" si="109" ref="BI92:BI100">G92*H92</f>
        <v>0</v>
      </c>
      <c r="BJ92" s="14" t="s">
        <v>164</v>
      </c>
      <c r="BK92" s="21">
        <v>781</v>
      </c>
    </row>
    <row r="93" spans="1:63" ht="12.75">
      <c r="A93" s="3" t="s">
        <v>65</v>
      </c>
      <c r="B93" s="9" t="s">
        <v>144</v>
      </c>
      <c r="C93" s="139" t="s">
        <v>252</v>
      </c>
      <c r="D93" s="140"/>
      <c r="E93" s="140"/>
      <c r="F93" s="9" t="s">
        <v>291</v>
      </c>
      <c r="G93" s="14">
        <v>209</v>
      </c>
      <c r="H93" s="14">
        <v>0</v>
      </c>
      <c r="I93" s="14">
        <f t="shared" si="88"/>
        <v>0</v>
      </c>
      <c r="J93" s="14">
        <f t="shared" si="89"/>
        <v>0</v>
      </c>
      <c r="K93" s="14">
        <f t="shared" si="90"/>
        <v>0</v>
      </c>
      <c r="L93" s="18"/>
      <c r="Y93" s="21">
        <f t="shared" si="91"/>
        <v>0</v>
      </c>
      <c r="AA93" s="21">
        <f t="shared" si="92"/>
        <v>0</v>
      </c>
      <c r="AB93" s="21">
        <f t="shared" si="93"/>
        <v>0</v>
      </c>
      <c r="AC93" s="21">
        <f t="shared" si="94"/>
        <v>0</v>
      </c>
      <c r="AD93" s="21">
        <f t="shared" si="95"/>
        <v>0</v>
      </c>
      <c r="AE93" s="21">
        <f t="shared" si="96"/>
        <v>0</v>
      </c>
      <c r="AF93" s="21">
        <f t="shared" si="97"/>
        <v>0</v>
      </c>
      <c r="AG93" s="21">
        <f t="shared" si="98"/>
        <v>0</v>
      </c>
      <c r="AH93" s="20" t="s">
        <v>325</v>
      </c>
      <c r="AI93" s="14">
        <f t="shared" si="99"/>
        <v>0</v>
      </c>
      <c r="AJ93" s="14">
        <f t="shared" si="100"/>
        <v>0</v>
      </c>
      <c r="AK93" s="14">
        <f t="shared" si="101"/>
        <v>0</v>
      </c>
      <c r="AM93" s="21">
        <v>15</v>
      </c>
      <c r="AN93" s="21">
        <f>H93*0</f>
        <v>0</v>
      </c>
      <c r="AO93" s="21">
        <f>H93*(1-0)</f>
        <v>0</v>
      </c>
      <c r="AP93" s="22" t="s">
        <v>13</v>
      </c>
      <c r="AU93" s="21">
        <f t="shared" si="102"/>
        <v>0</v>
      </c>
      <c r="AV93" s="21">
        <f t="shared" si="103"/>
        <v>0</v>
      </c>
      <c r="AW93" s="21">
        <f t="shared" si="104"/>
        <v>0</v>
      </c>
      <c r="AX93" s="24" t="s">
        <v>342</v>
      </c>
      <c r="AY93" s="24" t="s">
        <v>358</v>
      </c>
      <c r="AZ93" s="20" t="s">
        <v>370</v>
      </c>
      <c r="BB93" s="21">
        <f t="shared" si="105"/>
        <v>0</v>
      </c>
      <c r="BC93" s="21">
        <f t="shared" si="106"/>
        <v>0</v>
      </c>
      <c r="BD93" s="21">
        <v>0</v>
      </c>
      <c r="BE93" s="21">
        <f>93</f>
        <v>93</v>
      </c>
      <c r="BG93" s="14">
        <f t="shared" si="107"/>
        <v>0</v>
      </c>
      <c r="BH93" s="14">
        <f t="shared" si="108"/>
        <v>0</v>
      </c>
      <c r="BI93" s="14">
        <f t="shared" si="109"/>
        <v>0</v>
      </c>
      <c r="BJ93" s="14" t="s">
        <v>164</v>
      </c>
      <c r="BK93" s="21">
        <v>781</v>
      </c>
    </row>
    <row r="94" spans="1:63" ht="12.75">
      <c r="A94" s="3" t="s">
        <v>66</v>
      </c>
      <c r="B94" s="9" t="s">
        <v>150</v>
      </c>
      <c r="C94" s="139" t="s">
        <v>253</v>
      </c>
      <c r="D94" s="140"/>
      <c r="E94" s="140"/>
      <c r="F94" s="9" t="s">
        <v>293</v>
      </c>
      <c r="G94" s="14">
        <v>108</v>
      </c>
      <c r="H94" s="14">
        <v>0</v>
      </c>
      <c r="I94" s="14">
        <f t="shared" si="88"/>
        <v>0</v>
      </c>
      <c r="J94" s="14">
        <f t="shared" si="89"/>
        <v>0</v>
      </c>
      <c r="K94" s="14">
        <f t="shared" si="90"/>
        <v>0</v>
      </c>
      <c r="L94" s="18"/>
      <c r="Y94" s="21">
        <f t="shared" si="91"/>
        <v>0</v>
      </c>
      <c r="AA94" s="21">
        <f t="shared" si="92"/>
        <v>0</v>
      </c>
      <c r="AB94" s="21">
        <f t="shared" si="93"/>
        <v>0</v>
      </c>
      <c r="AC94" s="21">
        <f t="shared" si="94"/>
        <v>0</v>
      </c>
      <c r="AD94" s="21">
        <f t="shared" si="95"/>
        <v>0</v>
      </c>
      <c r="AE94" s="21">
        <f t="shared" si="96"/>
        <v>0</v>
      </c>
      <c r="AF94" s="21">
        <f t="shared" si="97"/>
        <v>0</v>
      </c>
      <c r="AG94" s="21">
        <f t="shared" si="98"/>
        <v>0</v>
      </c>
      <c r="AH94" s="20" t="s">
        <v>325</v>
      </c>
      <c r="AI94" s="14">
        <f t="shared" si="99"/>
        <v>0</v>
      </c>
      <c r="AJ94" s="14">
        <f t="shared" si="100"/>
        <v>0</v>
      </c>
      <c r="AK94" s="14">
        <f t="shared" si="101"/>
        <v>0</v>
      </c>
      <c r="AM94" s="21">
        <v>15</v>
      </c>
      <c r="AN94" s="21">
        <f>H94*0.0784126984126984</f>
        <v>0</v>
      </c>
      <c r="AO94" s="21">
        <f>H94*(1-0.0784126984126984)</f>
        <v>0</v>
      </c>
      <c r="AP94" s="22" t="s">
        <v>13</v>
      </c>
      <c r="AU94" s="21">
        <f t="shared" si="102"/>
        <v>0</v>
      </c>
      <c r="AV94" s="21">
        <f t="shared" si="103"/>
        <v>0</v>
      </c>
      <c r="AW94" s="21">
        <f t="shared" si="104"/>
        <v>0</v>
      </c>
      <c r="AX94" s="24" t="s">
        <v>342</v>
      </c>
      <c r="AY94" s="24" t="s">
        <v>358</v>
      </c>
      <c r="AZ94" s="20" t="s">
        <v>370</v>
      </c>
      <c r="BB94" s="21">
        <f t="shared" si="105"/>
        <v>0</v>
      </c>
      <c r="BC94" s="21">
        <f t="shared" si="106"/>
        <v>0</v>
      </c>
      <c r="BD94" s="21">
        <v>0</v>
      </c>
      <c r="BE94" s="21">
        <f>94</f>
        <v>94</v>
      </c>
      <c r="BG94" s="14">
        <f t="shared" si="107"/>
        <v>0</v>
      </c>
      <c r="BH94" s="14">
        <f t="shared" si="108"/>
        <v>0</v>
      </c>
      <c r="BI94" s="14">
        <f t="shared" si="109"/>
        <v>0</v>
      </c>
      <c r="BJ94" s="14" t="s">
        <v>164</v>
      </c>
      <c r="BK94" s="21">
        <v>781</v>
      </c>
    </row>
    <row r="95" spans="1:63" ht="12.75">
      <c r="A95" s="62" t="s">
        <v>67</v>
      </c>
      <c r="B95" s="63" t="s">
        <v>146</v>
      </c>
      <c r="C95" s="141" t="s">
        <v>254</v>
      </c>
      <c r="D95" s="142"/>
      <c r="E95" s="142"/>
      <c r="F95" s="63" t="s">
        <v>291</v>
      </c>
      <c r="G95" s="64">
        <v>228.6</v>
      </c>
      <c r="H95" s="64">
        <v>0</v>
      </c>
      <c r="I95" s="64">
        <f t="shared" si="88"/>
        <v>0</v>
      </c>
      <c r="J95" s="64">
        <f t="shared" si="89"/>
        <v>0</v>
      </c>
      <c r="K95" s="64">
        <f t="shared" si="90"/>
        <v>0</v>
      </c>
      <c r="L95" s="18"/>
      <c r="Y95" s="21">
        <f t="shared" si="91"/>
        <v>0</v>
      </c>
      <c r="AA95" s="21">
        <f t="shared" si="92"/>
        <v>0</v>
      </c>
      <c r="AB95" s="21">
        <f t="shared" si="93"/>
        <v>0</v>
      </c>
      <c r="AC95" s="21">
        <f t="shared" si="94"/>
        <v>0</v>
      </c>
      <c r="AD95" s="21">
        <f t="shared" si="95"/>
        <v>0</v>
      </c>
      <c r="AE95" s="21">
        <f t="shared" si="96"/>
        <v>0</v>
      </c>
      <c r="AF95" s="21">
        <f t="shared" si="97"/>
        <v>0</v>
      </c>
      <c r="AG95" s="21">
        <f t="shared" si="98"/>
        <v>0</v>
      </c>
      <c r="AH95" s="20" t="s">
        <v>325</v>
      </c>
      <c r="AI95" s="15">
        <f t="shared" si="99"/>
        <v>0</v>
      </c>
      <c r="AJ95" s="15">
        <f t="shared" si="100"/>
        <v>0</v>
      </c>
      <c r="AK95" s="15">
        <f t="shared" si="101"/>
        <v>0</v>
      </c>
      <c r="AM95" s="21">
        <v>15</v>
      </c>
      <c r="AN95" s="21">
        <f>H95*1</f>
        <v>0</v>
      </c>
      <c r="AO95" s="21">
        <f>H95*(1-1)</f>
        <v>0</v>
      </c>
      <c r="AP95" s="23" t="s">
        <v>13</v>
      </c>
      <c r="AU95" s="21">
        <f t="shared" si="102"/>
        <v>0</v>
      </c>
      <c r="AV95" s="21">
        <f t="shared" si="103"/>
        <v>0</v>
      </c>
      <c r="AW95" s="21">
        <f t="shared" si="104"/>
        <v>0</v>
      </c>
      <c r="AX95" s="24" t="s">
        <v>342</v>
      </c>
      <c r="AY95" s="24" t="s">
        <v>358</v>
      </c>
      <c r="AZ95" s="20" t="s">
        <v>370</v>
      </c>
      <c r="BB95" s="21">
        <f t="shared" si="105"/>
        <v>0</v>
      </c>
      <c r="BC95" s="21">
        <f t="shared" si="106"/>
        <v>0</v>
      </c>
      <c r="BD95" s="21">
        <v>0</v>
      </c>
      <c r="BE95" s="21">
        <f>95</f>
        <v>95</v>
      </c>
      <c r="BG95" s="15">
        <f t="shared" si="107"/>
        <v>0</v>
      </c>
      <c r="BH95" s="15">
        <f t="shared" si="108"/>
        <v>0</v>
      </c>
      <c r="BI95" s="15">
        <f t="shared" si="109"/>
        <v>0</v>
      </c>
      <c r="BJ95" s="15" t="s">
        <v>379</v>
      </c>
      <c r="BK95" s="21">
        <v>781</v>
      </c>
    </row>
    <row r="96" spans="1:63" ht="12.75">
      <c r="A96" s="3" t="s">
        <v>68</v>
      </c>
      <c r="B96" s="9" t="s">
        <v>151</v>
      </c>
      <c r="C96" s="139" t="s">
        <v>255</v>
      </c>
      <c r="D96" s="140"/>
      <c r="E96" s="140"/>
      <c r="F96" s="9" t="s">
        <v>293</v>
      </c>
      <c r="G96" s="14">
        <v>108</v>
      </c>
      <c r="H96" s="14">
        <v>0</v>
      </c>
      <c r="I96" s="14">
        <f t="shared" si="88"/>
        <v>0</v>
      </c>
      <c r="J96" s="14">
        <f t="shared" si="89"/>
        <v>0</v>
      </c>
      <c r="K96" s="14">
        <f t="shared" si="90"/>
        <v>0</v>
      </c>
      <c r="L96" s="18"/>
      <c r="Y96" s="21">
        <f t="shared" si="91"/>
        <v>0</v>
      </c>
      <c r="AA96" s="21">
        <f t="shared" si="92"/>
        <v>0</v>
      </c>
      <c r="AB96" s="21">
        <f t="shared" si="93"/>
        <v>0</v>
      </c>
      <c r="AC96" s="21">
        <f t="shared" si="94"/>
        <v>0</v>
      </c>
      <c r="AD96" s="21">
        <f t="shared" si="95"/>
        <v>0</v>
      </c>
      <c r="AE96" s="21">
        <f t="shared" si="96"/>
        <v>0</v>
      </c>
      <c r="AF96" s="21">
        <f t="shared" si="97"/>
        <v>0</v>
      </c>
      <c r="AG96" s="21">
        <f t="shared" si="98"/>
        <v>0</v>
      </c>
      <c r="AH96" s="20" t="s">
        <v>325</v>
      </c>
      <c r="AI96" s="14">
        <f t="shared" si="99"/>
        <v>0</v>
      </c>
      <c r="AJ96" s="14">
        <f t="shared" si="100"/>
        <v>0</v>
      </c>
      <c r="AK96" s="14">
        <f t="shared" si="101"/>
        <v>0</v>
      </c>
      <c r="AM96" s="21">
        <v>15</v>
      </c>
      <c r="AN96" s="21">
        <f>H96*0.0587852494577007</f>
        <v>0</v>
      </c>
      <c r="AO96" s="21">
        <f>H96*(1-0.0587852494577007)</f>
        <v>0</v>
      </c>
      <c r="AP96" s="22" t="s">
        <v>13</v>
      </c>
      <c r="AU96" s="21">
        <f t="shared" si="102"/>
        <v>0</v>
      </c>
      <c r="AV96" s="21">
        <f t="shared" si="103"/>
        <v>0</v>
      </c>
      <c r="AW96" s="21">
        <f t="shared" si="104"/>
        <v>0</v>
      </c>
      <c r="AX96" s="24" t="s">
        <v>342</v>
      </c>
      <c r="AY96" s="24" t="s">
        <v>358</v>
      </c>
      <c r="AZ96" s="20" t="s">
        <v>370</v>
      </c>
      <c r="BB96" s="21">
        <f t="shared" si="105"/>
        <v>0</v>
      </c>
      <c r="BC96" s="21">
        <f t="shared" si="106"/>
        <v>0</v>
      </c>
      <c r="BD96" s="21">
        <v>0</v>
      </c>
      <c r="BE96" s="21">
        <f>96</f>
        <v>96</v>
      </c>
      <c r="BG96" s="14">
        <f t="shared" si="107"/>
        <v>0</v>
      </c>
      <c r="BH96" s="14">
        <f t="shared" si="108"/>
        <v>0</v>
      </c>
      <c r="BI96" s="14">
        <f t="shared" si="109"/>
        <v>0</v>
      </c>
      <c r="BJ96" s="14" t="s">
        <v>164</v>
      </c>
      <c r="BK96" s="21">
        <v>781</v>
      </c>
    </row>
    <row r="97" spans="1:63" ht="12.75">
      <c r="A97" s="3" t="s">
        <v>69</v>
      </c>
      <c r="B97" s="9" t="s">
        <v>152</v>
      </c>
      <c r="C97" s="139" t="s">
        <v>256</v>
      </c>
      <c r="D97" s="140"/>
      <c r="E97" s="140"/>
      <c r="F97" s="9" t="s">
        <v>293</v>
      </c>
      <c r="G97" s="14">
        <v>62.4</v>
      </c>
      <c r="H97" s="14">
        <v>0</v>
      </c>
      <c r="I97" s="14">
        <f t="shared" si="88"/>
        <v>0</v>
      </c>
      <c r="J97" s="14">
        <f t="shared" si="89"/>
        <v>0</v>
      </c>
      <c r="K97" s="14">
        <f t="shared" si="90"/>
        <v>0</v>
      </c>
      <c r="L97" s="18"/>
      <c r="Y97" s="21">
        <f t="shared" si="91"/>
        <v>0</v>
      </c>
      <c r="AA97" s="21">
        <f t="shared" si="92"/>
        <v>0</v>
      </c>
      <c r="AB97" s="21">
        <f t="shared" si="93"/>
        <v>0</v>
      </c>
      <c r="AC97" s="21">
        <f t="shared" si="94"/>
        <v>0</v>
      </c>
      <c r="AD97" s="21">
        <f t="shared" si="95"/>
        <v>0</v>
      </c>
      <c r="AE97" s="21">
        <f t="shared" si="96"/>
        <v>0</v>
      </c>
      <c r="AF97" s="21">
        <f t="shared" si="97"/>
        <v>0</v>
      </c>
      <c r="AG97" s="21">
        <f t="shared" si="98"/>
        <v>0</v>
      </c>
      <c r="AH97" s="20" t="s">
        <v>325</v>
      </c>
      <c r="AI97" s="14">
        <f t="shared" si="99"/>
        <v>0</v>
      </c>
      <c r="AJ97" s="14">
        <f t="shared" si="100"/>
        <v>0</v>
      </c>
      <c r="AK97" s="14">
        <f t="shared" si="101"/>
        <v>0</v>
      </c>
      <c r="AM97" s="21">
        <v>15</v>
      </c>
      <c r="AN97" s="21">
        <f>H97*0.836537276702961</f>
        <v>0</v>
      </c>
      <c r="AO97" s="21">
        <f>H97*(1-0.836537276702961)</f>
        <v>0</v>
      </c>
      <c r="AP97" s="22" t="s">
        <v>13</v>
      </c>
      <c r="AU97" s="21">
        <f t="shared" si="102"/>
        <v>0</v>
      </c>
      <c r="AV97" s="21">
        <f t="shared" si="103"/>
        <v>0</v>
      </c>
      <c r="AW97" s="21">
        <f t="shared" si="104"/>
        <v>0</v>
      </c>
      <c r="AX97" s="24" t="s">
        <v>342</v>
      </c>
      <c r="AY97" s="24" t="s">
        <v>358</v>
      </c>
      <c r="AZ97" s="20" t="s">
        <v>370</v>
      </c>
      <c r="BB97" s="21">
        <f t="shared" si="105"/>
        <v>0</v>
      </c>
      <c r="BC97" s="21">
        <f t="shared" si="106"/>
        <v>0</v>
      </c>
      <c r="BD97" s="21">
        <v>0</v>
      </c>
      <c r="BE97" s="21">
        <f>97</f>
        <v>97</v>
      </c>
      <c r="BG97" s="14">
        <f t="shared" si="107"/>
        <v>0</v>
      </c>
      <c r="BH97" s="14">
        <f t="shared" si="108"/>
        <v>0</v>
      </c>
      <c r="BI97" s="14">
        <f t="shared" si="109"/>
        <v>0</v>
      </c>
      <c r="BJ97" s="14" t="s">
        <v>164</v>
      </c>
      <c r="BK97" s="21">
        <v>781</v>
      </c>
    </row>
    <row r="98" spans="1:63" ht="12.75">
      <c r="A98" s="3" t="s">
        <v>70</v>
      </c>
      <c r="B98" s="9" t="s">
        <v>153</v>
      </c>
      <c r="C98" s="139" t="s">
        <v>257</v>
      </c>
      <c r="D98" s="140"/>
      <c r="E98" s="140"/>
      <c r="F98" s="9" t="s">
        <v>293</v>
      </c>
      <c r="G98" s="14">
        <v>238</v>
      </c>
      <c r="H98" s="14">
        <v>0</v>
      </c>
      <c r="I98" s="14">
        <f t="shared" si="88"/>
        <v>0</v>
      </c>
      <c r="J98" s="14">
        <f t="shared" si="89"/>
        <v>0</v>
      </c>
      <c r="K98" s="14">
        <f t="shared" si="90"/>
        <v>0</v>
      </c>
      <c r="L98" s="18"/>
      <c r="Y98" s="21">
        <f t="shared" si="91"/>
        <v>0</v>
      </c>
      <c r="AA98" s="21">
        <f t="shared" si="92"/>
        <v>0</v>
      </c>
      <c r="AB98" s="21">
        <f t="shared" si="93"/>
        <v>0</v>
      </c>
      <c r="AC98" s="21">
        <f t="shared" si="94"/>
        <v>0</v>
      </c>
      <c r="AD98" s="21">
        <f t="shared" si="95"/>
        <v>0</v>
      </c>
      <c r="AE98" s="21">
        <f t="shared" si="96"/>
        <v>0</v>
      </c>
      <c r="AF98" s="21">
        <f t="shared" si="97"/>
        <v>0</v>
      </c>
      <c r="AG98" s="21">
        <f t="shared" si="98"/>
        <v>0</v>
      </c>
      <c r="AH98" s="20" t="s">
        <v>325</v>
      </c>
      <c r="AI98" s="14">
        <f t="shared" si="99"/>
        <v>0</v>
      </c>
      <c r="AJ98" s="14">
        <f t="shared" si="100"/>
        <v>0</v>
      </c>
      <c r="AK98" s="14">
        <f t="shared" si="101"/>
        <v>0</v>
      </c>
      <c r="AM98" s="21">
        <v>15</v>
      </c>
      <c r="AN98" s="21">
        <f>H98*0</f>
        <v>0</v>
      </c>
      <c r="AO98" s="21">
        <f>H98*(1-0)</f>
        <v>0</v>
      </c>
      <c r="AP98" s="22" t="s">
        <v>13</v>
      </c>
      <c r="AU98" s="21">
        <f t="shared" si="102"/>
        <v>0</v>
      </c>
      <c r="AV98" s="21">
        <f t="shared" si="103"/>
        <v>0</v>
      </c>
      <c r="AW98" s="21">
        <f t="shared" si="104"/>
        <v>0</v>
      </c>
      <c r="AX98" s="24" t="s">
        <v>342</v>
      </c>
      <c r="AY98" s="24" t="s">
        <v>358</v>
      </c>
      <c r="AZ98" s="20" t="s">
        <v>370</v>
      </c>
      <c r="BB98" s="21">
        <f t="shared" si="105"/>
        <v>0</v>
      </c>
      <c r="BC98" s="21">
        <f t="shared" si="106"/>
        <v>0</v>
      </c>
      <c r="BD98" s="21">
        <v>0</v>
      </c>
      <c r="BE98" s="21">
        <f>98</f>
        <v>98</v>
      </c>
      <c r="BG98" s="14">
        <f t="shared" si="107"/>
        <v>0</v>
      </c>
      <c r="BH98" s="14">
        <f t="shared" si="108"/>
        <v>0</v>
      </c>
      <c r="BI98" s="14">
        <f t="shared" si="109"/>
        <v>0</v>
      </c>
      <c r="BJ98" s="14" t="s">
        <v>164</v>
      </c>
      <c r="BK98" s="21">
        <v>781</v>
      </c>
    </row>
    <row r="99" spans="1:63" ht="12.75">
      <c r="A99" s="3" t="s">
        <v>71</v>
      </c>
      <c r="B99" s="9" t="s">
        <v>154</v>
      </c>
      <c r="C99" s="139" t="s">
        <v>258</v>
      </c>
      <c r="D99" s="140"/>
      <c r="E99" s="140"/>
      <c r="F99" s="9" t="s">
        <v>293</v>
      </c>
      <c r="G99" s="14">
        <v>178</v>
      </c>
      <c r="H99" s="14">
        <v>0</v>
      </c>
      <c r="I99" s="14">
        <f t="shared" si="88"/>
        <v>0</v>
      </c>
      <c r="J99" s="14">
        <f t="shared" si="89"/>
        <v>0</v>
      </c>
      <c r="K99" s="14">
        <f t="shared" si="90"/>
        <v>0</v>
      </c>
      <c r="L99" s="18"/>
      <c r="Y99" s="21">
        <f t="shared" si="91"/>
        <v>0</v>
      </c>
      <c r="AA99" s="21">
        <f t="shared" si="92"/>
        <v>0</v>
      </c>
      <c r="AB99" s="21">
        <f t="shared" si="93"/>
        <v>0</v>
      </c>
      <c r="AC99" s="21">
        <f t="shared" si="94"/>
        <v>0</v>
      </c>
      <c r="AD99" s="21">
        <f t="shared" si="95"/>
        <v>0</v>
      </c>
      <c r="AE99" s="21">
        <f t="shared" si="96"/>
        <v>0</v>
      </c>
      <c r="AF99" s="21">
        <f t="shared" si="97"/>
        <v>0</v>
      </c>
      <c r="AG99" s="21">
        <f t="shared" si="98"/>
        <v>0</v>
      </c>
      <c r="AH99" s="20" t="s">
        <v>325</v>
      </c>
      <c r="AI99" s="14">
        <f t="shared" si="99"/>
        <v>0</v>
      </c>
      <c r="AJ99" s="14">
        <f t="shared" si="100"/>
        <v>0</v>
      </c>
      <c r="AK99" s="14">
        <f t="shared" si="101"/>
        <v>0</v>
      </c>
      <c r="AM99" s="21">
        <v>15</v>
      </c>
      <c r="AN99" s="21">
        <f>H99*0</f>
        <v>0</v>
      </c>
      <c r="AO99" s="21">
        <f>H99*(1-0)</f>
        <v>0</v>
      </c>
      <c r="AP99" s="22" t="s">
        <v>13</v>
      </c>
      <c r="AU99" s="21">
        <f t="shared" si="102"/>
        <v>0</v>
      </c>
      <c r="AV99" s="21">
        <f t="shared" si="103"/>
        <v>0</v>
      </c>
      <c r="AW99" s="21">
        <f t="shared" si="104"/>
        <v>0</v>
      </c>
      <c r="AX99" s="24" t="s">
        <v>342</v>
      </c>
      <c r="AY99" s="24" t="s">
        <v>358</v>
      </c>
      <c r="AZ99" s="20" t="s">
        <v>370</v>
      </c>
      <c r="BB99" s="21">
        <f t="shared" si="105"/>
        <v>0</v>
      </c>
      <c r="BC99" s="21">
        <f t="shared" si="106"/>
        <v>0</v>
      </c>
      <c r="BD99" s="21">
        <v>0</v>
      </c>
      <c r="BE99" s="21">
        <f>99</f>
        <v>99</v>
      </c>
      <c r="BG99" s="14">
        <f t="shared" si="107"/>
        <v>0</v>
      </c>
      <c r="BH99" s="14">
        <f t="shared" si="108"/>
        <v>0</v>
      </c>
      <c r="BI99" s="14">
        <f t="shared" si="109"/>
        <v>0</v>
      </c>
      <c r="BJ99" s="14" t="s">
        <v>164</v>
      </c>
      <c r="BK99" s="21">
        <v>781</v>
      </c>
    </row>
    <row r="100" spans="1:63" ht="12.75">
      <c r="A100" s="3" t="s">
        <v>72</v>
      </c>
      <c r="B100" s="9" t="s">
        <v>155</v>
      </c>
      <c r="C100" s="139" t="s">
        <v>259</v>
      </c>
      <c r="D100" s="140"/>
      <c r="E100" s="140"/>
      <c r="F100" s="9" t="s">
        <v>293</v>
      </c>
      <c r="G100" s="14">
        <v>84</v>
      </c>
      <c r="H100" s="14">
        <v>0</v>
      </c>
      <c r="I100" s="14">
        <f t="shared" si="88"/>
        <v>0</v>
      </c>
      <c r="J100" s="14">
        <f t="shared" si="89"/>
        <v>0</v>
      </c>
      <c r="K100" s="14">
        <f t="shared" si="90"/>
        <v>0</v>
      </c>
      <c r="L100" s="18"/>
      <c r="Y100" s="21">
        <f t="shared" si="91"/>
        <v>0</v>
      </c>
      <c r="AA100" s="21">
        <f t="shared" si="92"/>
        <v>0</v>
      </c>
      <c r="AB100" s="21">
        <f t="shared" si="93"/>
        <v>0</v>
      </c>
      <c r="AC100" s="21">
        <f t="shared" si="94"/>
        <v>0</v>
      </c>
      <c r="AD100" s="21">
        <f t="shared" si="95"/>
        <v>0</v>
      </c>
      <c r="AE100" s="21">
        <f t="shared" si="96"/>
        <v>0</v>
      </c>
      <c r="AF100" s="21">
        <f t="shared" si="97"/>
        <v>0</v>
      </c>
      <c r="AG100" s="21">
        <f t="shared" si="98"/>
        <v>0</v>
      </c>
      <c r="AH100" s="20" t="s">
        <v>325</v>
      </c>
      <c r="AI100" s="14">
        <f t="shared" si="99"/>
        <v>0</v>
      </c>
      <c r="AJ100" s="14">
        <f t="shared" si="100"/>
        <v>0</v>
      </c>
      <c r="AK100" s="14">
        <f t="shared" si="101"/>
        <v>0</v>
      </c>
      <c r="AM100" s="21">
        <v>15</v>
      </c>
      <c r="AN100" s="21">
        <f>H100*0</f>
        <v>0</v>
      </c>
      <c r="AO100" s="21">
        <f>H100*(1-0)</f>
        <v>0</v>
      </c>
      <c r="AP100" s="22" t="s">
        <v>13</v>
      </c>
      <c r="AU100" s="21">
        <f t="shared" si="102"/>
        <v>0</v>
      </c>
      <c r="AV100" s="21">
        <f t="shared" si="103"/>
        <v>0</v>
      </c>
      <c r="AW100" s="21">
        <f t="shared" si="104"/>
        <v>0</v>
      </c>
      <c r="AX100" s="24" t="s">
        <v>342</v>
      </c>
      <c r="AY100" s="24" t="s">
        <v>358</v>
      </c>
      <c r="AZ100" s="20" t="s">
        <v>370</v>
      </c>
      <c r="BB100" s="21">
        <f t="shared" si="105"/>
        <v>0</v>
      </c>
      <c r="BC100" s="21">
        <f t="shared" si="106"/>
        <v>0</v>
      </c>
      <c r="BD100" s="21">
        <v>0</v>
      </c>
      <c r="BE100" s="21">
        <f>100</f>
        <v>100</v>
      </c>
      <c r="BG100" s="14">
        <f t="shared" si="107"/>
        <v>0</v>
      </c>
      <c r="BH100" s="14">
        <f t="shared" si="108"/>
        <v>0</v>
      </c>
      <c r="BI100" s="14">
        <f t="shared" si="109"/>
        <v>0</v>
      </c>
      <c r="BJ100" s="14" t="s">
        <v>164</v>
      </c>
      <c r="BK100" s="21">
        <v>781</v>
      </c>
    </row>
    <row r="101" spans="1:12" ht="12.75">
      <c r="A101" s="65"/>
      <c r="B101" s="66"/>
      <c r="C101" s="143" t="s">
        <v>260</v>
      </c>
      <c r="D101" s="144"/>
      <c r="E101" s="145"/>
      <c r="F101" s="65" t="s">
        <v>6</v>
      </c>
      <c r="G101" s="65" t="s">
        <v>6</v>
      </c>
      <c r="H101" s="65" t="s">
        <v>6</v>
      </c>
      <c r="I101" s="67">
        <f>I102</f>
        <v>0</v>
      </c>
      <c r="J101" s="67">
        <f>J102</f>
        <v>0</v>
      </c>
      <c r="K101" s="67">
        <f>K102</f>
        <v>0</v>
      </c>
      <c r="L101" s="61"/>
    </row>
    <row r="102" spans="1:46" ht="12.75">
      <c r="A102" s="2"/>
      <c r="B102" s="8" t="s">
        <v>40</v>
      </c>
      <c r="C102" s="137" t="s">
        <v>218</v>
      </c>
      <c r="D102" s="138"/>
      <c r="E102" s="138"/>
      <c r="F102" s="12" t="s">
        <v>6</v>
      </c>
      <c r="G102" s="12" t="s">
        <v>6</v>
      </c>
      <c r="H102" s="12" t="s">
        <v>6</v>
      </c>
      <c r="I102" s="26">
        <f>SUM(I103:I104)</f>
        <v>0</v>
      </c>
      <c r="J102" s="26">
        <f>SUM(J103:J104)</f>
        <v>0</v>
      </c>
      <c r="K102" s="26">
        <f>SUM(K103:K104)</f>
        <v>0</v>
      </c>
      <c r="L102" s="18"/>
      <c r="AH102" s="20" t="s">
        <v>326</v>
      </c>
      <c r="AR102" s="26">
        <f>SUM(AI103:AI104)</f>
        <v>0</v>
      </c>
      <c r="AS102" s="26">
        <f>SUM(AJ103:AJ104)</f>
        <v>0</v>
      </c>
      <c r="AT102" s="26">
        <f>SUM(AK103:AK104)</f>
        <v>0</v>
      </c>
    </row>
    <row r="103" spans="1:63" ht="12.75">
      <c r="A103" s="3" t="s">
        <v>73</v>
      </c>
      <c r="B103" s="9" t="s">
        <v>156</v>
      </c>
      <c r="C103" s="139" t="s">
        <v>261</v>
      </c>
      <c r="D103" s="140"/>
      <c r="E103" s="140"/>
      <c r="F103" s="9" t="s">
        <v>290</v>
      </c>
      <c r="G103" s="14">
        <v>6</v>
      </c>
      <c r="H103" s="14">
        <v>0</v>
      </c>
      <c r="I103" s="14">
        <f>G103*AN103</f>
        <v>0</v>
      </c>
      <c r="J103" s="14">
        <f>G103*AO103</f>
        <v>0</v>
      </c>
      <c r="K103" s="14">
        <f>G103*H103</f>
        <v>0</v>
      </c>
      <c r="L103" s="18"/>
      <c r="Y103" s="21">
        <f>IF(AP103="5",BI103,0)</f>
        <v>0</v>
      </c>
      <c r="AA103" s="21">
        <f>IF(AP103="1",BG103,0)</f>
        <v>0</v>
      </c>
      <c r="AB103" s="21">
        <f>IF(AP103="1",BH103,0)</f>
        <v>0</v>
      </c>
      <c r="AC103" s="21">
        <f>IF(AP103="7",BG103,0)</f>
        <v>0</v>
      </c>
      <c r="AD103" s="21">
        <f>IF(AP103="7",BH103,0)</f>
        <v>0</v>
      </c>
      <c r="AE103" s="21">
        <f>IF(AP103="2",BG103,0)</f>
        <v>0</v>
      </c>
      <c r="AF103" s="21">
        <f>IF(AP103="2",BH103,0)</f>
        <v>0</v>
      </c>
      <c r="AG103" s="21">
        <f>IF(AP103="0",BI103,0)</f>
        <v>0</v>
      </c>
      <c r="AH103" s="20" t="s">
        <v>326</v>
      </c>
      <c r="AI103" s="14">
        <f>IF(AM103=0,K103,0)</f>
        <v>0</v>
      </c>
      <c r="AJ103" s="14">
        <f>IF(AM103=15,K103,0)</f>
        <v>0</v>
      </c>
      <c r="AK103" s="14">
        <f>IF(AM103=21,K103,0)</f>
        <v>0</v>
      </c>
      <c r="AM103" s="21">
        <v>15</v>
      </c>
      <c r="AN103" s="21">
        <f>H103*0.408368</f>
        <v>0</v>
      </c>
      <c r="AO103" s="21">
        <f>H103*(1-0.408368)</f>
        <v>0</v>
      </c>
      <c r="AP103" s="22" t="s">
        <v>7</v>
      </c>
      <c r="AU103" s="21">
        <f>AV103+AW103</f>
        <v>0</v>
      </c>
      <c r="AV103" s="21">
        <f>G103*AN103</f>
        <v>0</v>
      </c>
      <c r="AW103" s="21">
        <f>G103*AO103</f>
        <v>0</v>
      </c>
      <c r="AX103" s="24" t="s">
        <v>335</v>
      </c>
      <c r="AY103" s="24" t="s">
        <v>359</v>
      </c>
      <c r="AZ103" s="20" t="s">
        <v>371</v>
      </c>
      <c r="BB103" s="21">
        <f>AV103+AW103</f>
        <v>0</v>
      </c>
      <c r="BC103" s="21">
        <f>H103/(100-BD103)*100</f>
        <v>0</v>
      </c>
      <c r="BD103" s="21">
        <v>0</v>
      </c>
      <c r="BE103" s="21">
        <f>103</f>
        <v>103</v>
      </c>
      <c r="BG103" s="14">
        <f>G103*AN103</f>
        <v>0</v>
      </c>
      <c r="BH103" s="14">
        <f>G103*AO103</f>
        <v>0</v>
      </c>
      <c r="BI103" s="14">
        <f>G103*H103</f>
        <v>0</v>
      </c>
      <c r="BJ103" s="14" t="s">
        <v>164</v>
      </c>
      <c r="BK103" s="21">
        <v>34</v>
      </c>
    </row>
    <row r="104" spans="1:63" ht="12.75">
      <c r="A104" s="3" t="s">
        <v>74</v>
      </c>
      <c r="B104" s="9" t="s">
        <v>157</v>
      </c>
      <c r="C104" s="139" t="s">
        <v>262</v>
      </c>
      <c r="D104" s="140"/>
      <c r="E104" s="140"/>
      <c r="F104" s="9" t="s">
        <v>290</v>
      </c>
      <c r="G104" s="14">
        <v>3</v>
      </c>
      <c r="H104" s="14">
        <v>0</v>
      </c>
      <c r="I104" s="14">
        <f>G104*AN104</f>
        <v>0</v>
      </c>
      <c r="J104" s="14">
        <f>G104*AO104</f>
        <v>0</v>
      </c>
      <c r="K104" s="14">
        <f>G104*H104</f>
        <v>0</v>
      </c>
      <c r="L104" s="18"/>
      <c r="Y104" s="21">
        <f>IF(AP104="5",BI104,0)</f>
        <v>0</v>
      </c>
      <c r="AA104" s="21">
        <f>IF(AP104="1",BG104,0)</f>
        <v>0</v>
      </c>
      <c r="AB104" s="21">
        <f>IF(AP104="1",BH104,0)</f>
        <v>0</v>
      </c>
      <c r="AC104" s="21">
        <f>IF(AP104="7",BG104,0)</f>
        <v>0</v>
      </c>
      <c r="AD104" s="21">
        <f>IF(AP104="7",BH104,0)</f>
        <v>0</v>
      </c>
      <c r="AE104" s="21">
        <f>IF(AP104="2",BG104,0)</f>
        <v>0</v>
      </c>
      <c r="AF104" s="21">
        <f>IF(AP104="2",BH104,0)</f>
        <v>0</v>
      </c>
      <c r="AG104" s="21">
        <f>IF(AP104="0",BI104,0)</f>
        <v>0</v>
      </c>
      <c r="AH104" s="20" t="s">
        <v>326</v>
      </c>
      <c r="AI104" s="14">
        <f>IF(AM104=0,K104,0)</f>
        <v>0</v>
      </c>
      <c r="AJ104" s="14">
        <f>IF(AM104=15,K104,0)</f>
        <v>0</v>
      </c>
      <c r="AK104" s="14">
        <f>IF(AM104=21,K104,0)</f>
        <v>0</v>
      </c>
      <c r="AM104" s="21">
        <v>15</v>
      </c>
      <c r="AN104" s="21">
        <f>H104*0.430656666666667</f>
        <v>0</v>
      </c>
      <c r="AO104" s="21">
        <f>H104*(1-0.430656666666667)</f>
        <v>0</v>
      </c>
      <c r="AP104" s="22" t="s">
        <v>7</v>
      </c>
      <c r="AU104" s="21">
        <f>AV104+AW104</f>
        <v>0</v>
      </c>
      <c r="AV104" s="21">
        <f>G104*AN104</f>
        <v>0</v>
      </c>
      <c r="AW104" s="21">
        <f>G104*AO104</f>
        <v>0</v>
      </c>
      <c r="AX104" s="24" t="s">
        <v>335</v>
      </c>
      <c r="AY104" s="24" t="s">
        <v>359</v>
      </c>
      <c r="AZ104" s="20" t="s">
        <v>371</v>
      </c>
      <c r="BB104" s="21">
        <f>AV104+AW104</f>
        <v>0</v>
      </c>
      <c r="BC104" s="21">
        <f>H104/(100-BD104)*100</f>
        <v>0</v>
      </c>
      <c r="BD104" s="21">
        <v>0</v>
      </c>
      <c r="BE104" s="21">
        <f>104</f>
        <v>104</v>
      </c>
      <c r="BG104" s="14">
        <f>G104*AN104</f>
        <v>0</v>
      </c>
      <c r="BH104" s="14">
        <f>G104*AO104</f>
        <v>0</v>
      </c>
      <c r="BI104" s="14">
        <f>G104*H104</f>
        <v>0</v>
      </c>
      <c r="BJ104" s="14" t="s">
        <v>164</v>
      </c>
      <c r="BK104" s="21">
        <v>34</v>
      </c>
    </row>
    <row r="105" spans="1:12" ht="12.75">
      <c r="A105" s="65"/>
      <c r="B105" s="66"/>
      <c r="C105" s="143" t="s">
        <v>263</v>
      </c>
      <c r="D105" s="144"/>
      <c r="E105" s="145"/>
      <c r="F105" s="65" t="s">
        <v>6</v>
      </c>
      <c r="G105" s="65" t="s">
        <v>6</v>
      </c>
      <c r="H105" s="65" t="s">
        <v>6</v>
      </c>
      <c r="I105" s="67">
        <f>I106</f>
        <v>0</v>
      </c>
      <c r="J105" s="67">
        <f>J106</f>
        <v>0</v>
      </c>
      <c r="K105" s="67">
        <f>K106</f>
        <v>0</v>
      </c>
      <c r="L105" s="61"/>
    </row>
    <row r="106" spans="1:46" ht="12.75">
      <c r="A106" s="2"/>
      <c r="B106" s="8" t="s">
        <v>158</v>
      </c>
      <c r="C106" s="137" t="s">
        <v>264</v>
      </c>
      <c r="D106" s="138"/>
      <c r="E106" s="138"/>
      <c r="F106" s="12" t="s">
        <v>6</v>
      </c>
      <c r="G106" s="12" t="s">
        <v>6</v>
      </c>
      <c r="H106" s="12" t="s">
        <v>6</v>
      </c>
      <c r="I106" s="26">
        <f>SUM(I107:I110)</f>
        <v>0</v>
      </c>
      <c r="J106" s="26">
        <f>SUM(J107:J110)</f>
        <v>0</v>
      </c>
      <c r="K106" s="26">
        <f>SUM(K107:K110)</f>
        <v>0</v>
      </c>
      <c r="L106" s="18"/>
      <c r="AH106" s="20" t="s">
        <v>327</v>
      </c>
      <c r="AR106" s="26">
        <f>SUM(AI107:AI110)</f>
        <v>0</v>
      </c>
      <c r="AS106" s="26">
        <f>SUM(AJ107:AJ110)</f>
        <v>0</v>
      </c>
      <c r="AT106" s="26">
        <f>SUM(AK107:AK110)</f>
        <v>0</v>
      </c>
    </row>
    <row r="107" spans="1:63" ht="12.75">
      <c r="A107" s="3" t="s">
        <v>75</v>
      </c>
      <c r="B107" s="9" t="s">
        <v>159</v>
      </c>
      <c r="C107" s="139" t="s">
        <v>265</v>
      </c>
      <c r="D107" s="140"/>
      <c r="E107" s="140"/>
      <c r="F107" s="9" t="s">
        <v>289</v>
      </c>
      <c r="G107" s="14">
        <v>6</v>
      </c>
      <c r="H107" s="14">
        <v>0</v>
      </c>
      <c r="I107" s="14">
        <f>G107*AN107</f>
        <v>0</v>
      </c>
      <c r="J107" s="14">
        <f>G107*AO107</f>
        <v>0</v>
      </c>
      <c r="K107" s="14">
        <f>G107*H107</f>
        <v>0</v>
      </c>
      <c r="L107" s="18"/>
      <c r="Y107" s="21">
        <f>IF(AP107="5",BI107,0)</f>
        <v>0</v>
      </c>
      <c r="AA107" s="21">
        <f>IF(AP107="1",BG107,0)</f>
        <v>0</v>
      </c>
      <c r="AB107" s="21">
        <f>IF(AP107="1",BH107,0)</f>
        <v>0</v>
      </c>
      <c r="AC107" s="21">
        <f>IF(AP107="7",BG107,0)</f>
        <v>0</v>
      </c>
      <c r="AD107" s="21">
        <f>IF(AP107="7",BH107,0)</f>
        <v>0</v>
      </c>
      <c r="AE107" s="21">
        <f>IF(AP107="2",BG107,0)</f>
        <v>0</v>
      </c>
      <c r="AF107" s="21">
        <f>IF(AP107="2",BH107,0)</f>
        <v>0</v>
      </c>
      <c r="AG107" s="21">
        <f>IF(AP107="0",BI107,0)</f>
        <v>0</v>
      </c>
      <c r="AH107" s="20" t="s">
        <v>327</v>
      </c>
      <c r="AI107" s="14">
        <f>IF(AM107=0,K107,0)</f>
        <v>0</v>
      </c>
      <c r="AJ107" s="14">
        <f>IF(AM107=15,K107,0)</f>
        <v>0</v>
      </c>
      <c r="AK107" s="14">
        <f>IF(AM107=21,K107,0)</f>
        <v>0</v>
      </c>
      <c r="AM107" s="21">
        <v>15</v>
      </c>
      <c r="AN107" s="21">
        <f>H107*0.0999542857142857</f>
        <v>0</v>
      </c>
      <c r="AO107" s="21">
        <f>H107*(1-0.0999542857142857)</f>
        <v>0</v>
      </c>
      <c r="AP107" s="22" t="s">
        <v>13</v>
      </c>
      <c r="AU107" s="21">
        <f>AV107+AW107</f>
        <v>0</v>
      </c>
      <c r="AV107" s="21">
        <f>G107*AN107</f>
        <v>0</v>
      </c>
      <c r="AW107" s="21">
        <f>G107*AO107</f>
        <v>0</v>
      </c>
      <c r="AX107" s="24" t="s">
        <v>343</v>
      </c>
      <c r="AY107" s="24" t="s">
        <v>360</v>
      </c>
      <c r="AZ107" s="20" t="s">
        <v>372</v>
      </c>
      <c r="BB107" s="21">
        <f>AV107+AW107</f>
        <v>0</v>
      </c>
      <c r="BC107" s="21">
        <f>H107/(100-BD107)*100</f>
        <v>0</v>
      </c>
      <c r="BD107" s="21">
        <v>0</v>
      </c>
      <c r="BE107" s="21">
        <f>107</f>
        <v>107</v>
      </c>
      <c r="BG107" s="14">
        <f>G107*AN107</f>
        <v>0</v>
      </c>
      <c r="BH107" s="14">
        <f>G107*AO107</f>
        <v>0</v>
      </c>
      <c r="BI107" s="14">
        <f>G107*H107</f>
        <v>0</v>
      </c>
      <c r="BJ107" s="14" t="s">
        <v>164</v>
      </c>
      <c r="BK107" s="21">
        <v>766</v>
      </c>
    </row>
    <row r="108" spans="1:63" ht="12.75">
      <c r="A108" s="62" t="s">
        <v>76</v>
      </c>
      <c r="B108" s="63" t="s">
        <v>160</v>
      </c>
      <c r="C108" s="141" t="s">
        <v>266</v>
      </c>
      <c r="D108" s="142"/>
      <c r="E108" s="142"/>
      <c r="F108" s="63" t="s">
        <v>289</v>
      </c>
      <c r="G108" s="64">
        <v>6</v>
      </c>
      <c r="H108" s="64">
        <v>0</v>
      </c>
      <c r="I108" s="64">
        <f>G108*AN108</f>
        <v>0</v>
      </c>
      <c r="J108" s="64">
        <f>G108*AO108</f>
        <v>0</v>
      </c>
      <c r="K108" s="64">
        <f>G108*H108</f>
        <v>0</v>
      </c>
      <c r="L108" s="18"/>
      <c r="Y108" s="21">
        <f>IF(AP108="5",BI108,0)</f>
        <v>0</v>
      </c>
      <c r="AA108" s="21">
        <f>IF(AP108="1",BG108,0)</f>
        <v>0</v>
      </c>
      <c r="AB108" s="21">
        <f>IF(AP108="1",BH108,0)</f>
        <v>0</v>
      </c>
      <c r="AC108" s="21">
        <f>IF(AP108="7",BG108,0)</f>
        <v>0</v>
      </c>
      <c r="AD108" s="21">
        <f>IF(AP108="7",BH108,0)</f>
        <v>0</v>
      </c>
      <c r="AE108" s="21">
        <f>IF(AP108="2",BG108,0)</f>
        <v>0</v>
      </c>
      <c r="AF108" s="21">
        <f>IF(AP108="2",BH108,0)</f>
        <v>0</v>
      </c>
      <c r="AG108" s="21">
        <f>IF(AP108="0",BI108,0)</f>
        <v>0</v>
      </c>
      <c r="AH108" s="20" t="s">
        <v>327</v>
      </c>
      <c r="AI108" s="15">
        <f>IF(AM108=0,K108,0)</f>
        <v>0</v>
      </c>
      <c r="AJ108" s="15">
        <f>IF(AM108=15,K108,0)</f>
        <v>0</v>
      </c>
      <c r="AK108" s="15">
        <f>IF(AM108=21,K108,0)</f>
        <v>0</v>
      </c>
      <c r="AM108" s="21">
        <v>15</v>
      </c>
      <c r="AN108" s="21">
        <f>H108*1</f>
        <v>0</v>
      </c>
      <c r="AO108" s="21">
        <f>H108*(1-1)</f>
        <v>0</v>
      </c>
      <c r="AP108" s="23" t="s">
        <v>13</v>
      </c>
      <c r="AU108" s="21">
        <f>AV108+AW108</f>
        <v>0</v>
      </c>
      <c r="AV108" s="21">
        <f>G108*AN108</f>
        <v>0</v>
      </c>
      <c r="AW108" s="21">
        <f>G108*AO108</f>
        <v>0</v>
      </c>
      <c r="AX108" s="24" t="s">
        <v>343</v>
      </c>
      <c r="AY108" s="24" t="s">
        <v>360</v>
      </c>
      <c r="AZ108" s="20" t="s">
        <v>372</v>
      </c>
      <c r="BB108" s="21">
        <f>AV108+AW108</f>
        <v>0</v>
      </c>
      <c r="BC108" s="21">
        <f>H108/(100-BD108)*100</f>
        <v>0</v>
      </c>
      <c r="BD108" s="21">
        <v>0</v>
      </c>
      <c r="BE108" s="21">
        <f>108</f>
        <v>108</v>
      </c>
      <c r="BG108" s="15">
        <f>G108*AN108</f>
        <v>0</v>
      </c>
      <c r="BH108" s="15">
        <f>G108*AO108</f>
        <v>0</v>
      </c>
      <c r="BI108" s="15">
        <f>G108*H108</f>
        <v>0</v>
      </c>
      <c r="BJ108" s="15" t="s">
        <v>379</v>
      </c>
      <c r="BK108" s="21">
        <v>766</v>
      </c>
    </row>
    <row r="109" spans="1:63" ht="12.75">
      <c r="A109" s="62" t="s">
        <v>77</v>
      </c>
      <c r="B109" s="63" t="s">
        <v>161</v>
      </c>
      <c r="C109" s="141" t="s">
        <v>267</v>
      </c>
      <c r="D109" s="142"/>
      <c r="E109" s="142"/>
      <c r="F109" s="63" t="s">
        <v>289</v>
      </c>
      <c r="G109" s="64">
        <v>6</v>
      </c>
      <c r="H109" s="64">
        <v>0</v>
      </c>
      <c r="I109" s="64">
        <f>G109*AN109</f>
        <v>0</v>
      </c>
      <c r="J109" s="64">
        <f>G109*AO109</f>
        <v>0</v>
      </c>
      <c r="K109" s="64">
        <f>G109*H109</f>
        <v>0</v>
      </c>
      <c r="L109" s="18"/>
      <c r="Y109" s="21">
        <f>IF(AP109="5",BI109,0)</f>
        <v>0</v>
      </c>
      <c r="AA109" s="21">
        <f>IF(AP109="1",BG109,0)</f>
        <v>0</v>
      </c>
      <c r="AB109" s="21">
        <f>IF(AP109="1",BH109,0)</f>
        <v>0</v>
      </c>
      <c r="AC109" s="21">
        <f>IF(AP109="7",BG109,0)</f>
        <v>0</v>
      </c>
      <c r="AD109" s="21">
        <f>IF(AP109="7",BH109,0)</f>
        <v>0</v>
      </c>
      <c r="AE109" s="21">
        <f>IF(AP109="2",BG109,0)</f>
        <v>0</v>
      </c>
      <c r="AF109" s="21">
        <f>IF(AP109="2",BH109,0)</f>
        <v>0</v>
      </c>
      <c r="AG109" s="21">
        <f>IF(AP109="0",BI109,0)</f>
        <v>0</v>
      </c>
      <c r="AH109" s="20" t="s">
        <v>327</v>
      </c>
      <c r="AI109" s="15">
        <f>IF(AM109=0,K109,0)</f>
        <v>0</v>
      </c>
      <c r="AJ109" s="15">
        <f>IF(AM109=15,K109,0)</f>
        <v>0</v>
      </c>
      <c r="AK109" s="15">
        <f>IF(AM109=21,K109,0)</f>
        <v>0</v>
      </c>
      <c r="AM109" s="21">
        <v>15</v>
      </c>
      <c r="AN109" s="21">
        <f>H109*1</f>
        <v>0</v>
      </c>
      <c r="AO109" s="21">
        <f>H109*(1-1)</f>
        <v>0</v>
      </c>
      <c r="AP109" s="23" t="s">
        <v>13</v>
      </c>
      <c r="AU109" s="21">
        <f>AV109+AW109</f>
        <v>0</v>
      </c>
      <c r="AV109" s="21">
        <f>G109*AN109</f>
        <v>0</v>
      </c>
      <c r="AW109" s="21">
        <f>G109*AO109</f>
        <v>0</v>
      </c>
      <c r="AX109" s="24" t="s">
        <v>343</v>
      </c>
      <c r="AY109" s="24" t="s">
        <v>360</v>
      </c>
      <c r="AZ109" s="20" t="s">
        <v>372</v>
      </c>
      <c r="BB109" s="21">
        <f>AV109+AW109</f>
        <v>0</v>
      </c>
      <c r="BC109" s="21">
        <f>H109/(100-BD109)*100</f>
        <v>0</v>
      </c>
      <c r="BD109" s="21">
        <v>0</v>
      </c>
      <c r="BE109" s="21">
        <f>109</f>
        <v>109</v>
      </c>
      <c r="BG109" s="15">
        <f>G109*AN109</f>
        <v>0</v>
      </c>
      <c r="BH109" s="15">
        <f>G109*AO109</f>
        <v>0</v>
      </c>
      <c r="BI109" s="15">
        <f>G109*H109</f>
        <v>0</v>
      </c>
      <c r="BJ109" s="15" t="s">
        <v>379</v>
      </c>
      <c r="BK109" s="21">
        <v>766</v>
      </c>
    </row>
    <row r="110" spans="1:63" ht="12.75">
      <c r="A110" s="62" t="s">
        <v>78</v>
      </c>
      <c r="B110" s="63" t="s">
        <v>162</v>
      </c>
      <c r="C110" s="141" t="s">
        <v>268</v>
      </c>
      <c r="D110" s="142"/>
      <c r="E110" s="142"/>
      <c r="F110" s="63" t="s">
        <v>289</v>
      </c>
      <c r="G110" s="64">
        <v>6</v>
      </c>
      <c r="H110" s="64">
        <v>0</v>
      </c>
      <c r="I110" s="64">
        <f>G110*AN110</f>
        <v>0</v>
      </c>
      <c r="J110" s="64">
        <f>G110*AO110</f>
        <v>0</v>
      </c>
      <c r="K110" s="64">
        <f>G110*H110</f>
        <v>0</v>
      </c>
      <c r="L110" s="18"/>
      <c r="Y110" s="21">
        <f>IF(AP110="5",BI110,0)</f>
        <v>0</v>
      </c>
      <c r="AA110" s="21">
        <f>IF(AP110="1",BG110,0)</f>
        <v>0</v>
      </c>
      <c r="AB110" s="21">
        <f>IF(AP110="1",BH110,0)</f>
        <v>0</v>
      </c>
      <c r="AC110" s="21">
        <f>IF(AP110="7",BG110,0)</f>
        <v>0</v>
      </c>
      <c r="AD110" s="21">
        <f>IF(AP110="7",BH110,0)</f>
        <v>0</v>
      </c>
      <c r="AE110" s="21">
        <f>IF(AP110="2",BG110,0)</f>
        <v>0</v>
      </c>
      <c r="AF110" s="21">
        <f>IF(AP110="2",BH110,0)</f>
        <v>0</v>
      </c>
      <c r="AG110" s="21">
        <f>IF(AP110="0",BI110,0)</f>
        <v>0</v>
      </c>
      <c r="AH110" s="20" t="s">
        <v>327</v>
      </c>
      <c r="AI110" s="15">
        <f>IF(AM110=0,K110,0)</f>
        <v>0</v>
      </c>
      <c r="AJ110" s="15">
        <f>IF(AM110=15,K110,0)</f>
        <v>0</v>
      </c>
      <c r="AK110" s="15">
        <f>IF(AM110=21,K110,0)</f>
        <v>0</v>
      </c>
      <c r="AM110" s="21">
        <v>15</v>
      </c>
      <c r="AN110" s="21">
        <f>H110*1</f>
        <v>0</v>
      </c>
      <c r="AO110" s="21">
        <f>H110*(1-1)</f>
        <v>0</v>
      </c>
      <c r="AP110" s="23" t="s">
        <v>13</v>
      </c>
      <c r="AU110" s="21">
        <f>AV110+AW110</f>
        <v>0</v>
      </c>
      <c r="AV110" s="21">
        <f>G110*AN110</f>
        <v>0</v>
      </c>
      <c r="AW110" s="21">
        <f>G110*AO110</f>
        <v>0</v>
      </c>
      <c r="AX110" s="24" t="s">
        <v>343</v>
      </c>
      <c r="AY110" s="24" t="s">
        <v>360</v>
      </c>
      <c r="AZ110" s="20" t="s">
        <v>372</v>
      </c>
      <c r="BB110" s="21">
        <f>AV110+AW110</f>
        <v>0</v>
      </c>
      <c r="BC110" s="21">
        <f>H110/(100-BD110)*100</f>
        <v>0</v>
      </c>
      <c r="BD110" s="21">
        <v>0</v>
      </c>
      <c r="BE110" s="21">
        <f>110</f>
        <v>110</v>
      </c>
      <c r="BG110" s="15">
        <f>G110*AN110</f>
        <v>0</v>
      </c>
      <c r="BH110" s="15">
        <f>G110*AO110</f>
        <v>0</v>
      </c>
      <c r="BI110" s="15">
        <f>G110*H110</f>
        <v>0</v>
      </c>
      <c r="BJ110" s="15" t="s">
        <v>379</v>
      </c>
      <c r="BK110" s="21">
        <v>766</v>
      </c>
    </row>
    <row r="111" spans="1:12" ht="12.75">
      <c r="A111" s="65"/>
      <c r="B111" s="66"/>
      <c r="C111" s="143" t="s">
        <v>269</v>
      </c>
      <c r="D111" s="144"/>
      <c r="E111" s="145"/>
      <c r="F111" s="65" t="s">
        <v>6</v>
      </c>
      <c r="G111" s="65" t="s">
        <v>6</v>
      </c>
      <c r="H111" s="65" t="s">
        <v>6</v>
      </c>
      <c r="I111" s="67">
        <f>I112</f>
        <v>0</v>
      </c>
      <c r="J111" s="67">
        <f>J112</f>
        <v>0</v>
      </c>
      <c r="K111" s="67">
        <f>K112</f>
        <v>0</v>
      </c>
      <c r="L111" s="61"/>
    </row>
    <row r="112" spans="1:46" ht="12.75">
      <c r="A112" s="2"/>
      <c r="B112" s="8" t="s">
        <v>130</v>
      </c>
      <c r="C112" s="137" t="s">
        <v>224</v>
      </c>
      <c r="D112" s="138"/>
      <c r="E112" s="138"/>
      <c r="F112" s="12" t="s">
        <v>6</v>
      </c>
      <c r="G112" s="12" t="s">
        <v>6</v>
      </c>
      <c r="H112" s="12" t="s">
        <v>6</v>
      </c>
      <c r="I112" s="26">
        <f>SUM(I113:I114)</f>
        <v>0</v>
      </c>
      <c r="J112" s="26">
        <f>SUM(J113:J114)</f>
        <v>0</v>
      </c>
      <c r="K112" s="26">
        <f>SUM(K113:K114)</f>
        <v>0</v>
      </c>
      <c r="L112" s="18"/>
      <c r="AH112" s="20" t="s">
        <v>328</v>
      </c>
      <c r="AR112" s="26">
        <f>SUM(AI113:AI114)</f>
        <v>0</v>
      </c>
      <c r="AS112" s="26">
        <f>SUM(AJ113:AJ114)</f>
        <v>0</v>
      </c>
      <c r="AT112" s="26">
        <f>SUM(AK113:AK114)</f>
        <v>0</v>
      </c>
    </row>
    <row r="113" spans="1:63" ht="12.75">
      <c r="A113" s="3" t="s">
        <v>79</v>
      </c>
      <c r="B113" s="9" t="s">
        <v>132</v>
      </c>
      <c r="C113" s="139" t="s">
        <v>270</v>
      </c>
      <c r="D113" s="140"/>
      <c r="E113" s="140"/>
      <c r="F113" s="9" t="s">
        <v>291</v>
      </c>
      <c r="G113" s="14">
        <v>522</v>
      </c>
      <c r="H113" s="14">
        <v>0</v>
      </c>
      <c r="I113" s="14">
        <f>G113*AN113</f>
        <v>0</v>
      </c>
      <c r="J113" s="14">
        <f>G113*AO113</f>
        <v>0</v>
      </c>
      <c r="K113" s="14">
        <f>G113*H113</f>
        <v>0</v>
      </c>
      <c r="L113" s="18"/>
      <c r="Y113" s="21">
        <f>IF(AP113="5",BI113,0)</f>
        <v>0</v>
      </c>
      <c r="AA113" s="21">
        <f>IF(AP113="1",BG113,0)</f>
        <v>0</v>
      </c>
      <c r="AB113" s="21">
        <f>IF(AP113="1",BH113,0)</f>
        <v>0</v>
      </c>
      <c r="AC113" s="21">
        <f>IF(AP113="7",BG113,0)</f>
        <v>0</v>
      </c>
      <c r="AD113" s="21">
        <f>IF(AP113="7",BH113,0)</f>
        <v>0</v>
      </c>
      <c r="AE113" s="21">
        <f>IF(AP113="2",BG113,0)</f>
        <v>0</v>
      </c>
      <c r="AF113" s="21">
        <f>IF(AP113="2",BH113,0)</f>
        <v>0</v>
      </c>
      <c r="AG113" s="21">
        <f>IF(AP113="0",BI113,0)</f>
        <v>0</v>
      </c>
      <c r="AH113" s="20" t="s">
        <v>328</v>
      </c>
      <c r="AI113" s="14">
        <f>IF(AM113=0,K113,0)</f>
        <v>0</v>
      </c>
      <c r="AJ113" s="14">
        <f>IF(AM113=15,K113,0)</f>
        <v>0</v>
      </c>
      <c r="AK113" s="14">
        <f>IF(AM113=21,K113,0)</f>
        <v>0</v>
      </c>
      <c r="AM113" s="21">
        <v>15</v>
      </c>
      <c r="AN113" s="21">
        <f>H113*0.412267657992565</f>
        <v>0</v>
      </c>
      <c r="AO113" s="21">
        <f>H113*(1-0.412267657992565)</f>
        <v>0</v>
      </c>
      <c r="AP113" s="22" t="s">
        <v>13</v>
      </c>
      <c r="AU113" s="21">
        <f>AV113+AW113</f>
        <v>0</v>
      </c>
      <c r="AV113" s="21">
        <f>G113*AN113</f>
        <v>0</v>
      </c>
      <c r="AW113" s="21">
        <f>G113*AO113</f>
        <v>0</v>
      </c>
      <c r="AX113" s="24" t="s">
        <v>338</v>
      </c>
      <c r="AY113" s="24" t="s">
        <v>361</v>
      </c>
      <c r="AZ113" s="20" t="s">
        <v>373</v>
      </c>
      <c r="BB113" s="21">
        <f>AV113+AW113</f>
        <v>0</v>
      </c>
      <c r="BC113" s="21">
        <f>H113/(100-BD113)*100</f>
        <v>0</v>
      </c>
      <c r="BD113" s="21">
        <v>0</v>
      </c>
      <c r="BE113" s="21">
        <f>113</f>
        <v>113</v>
      </c>
      <c r="BG113" s="14">
        <f>G113*AN113</f>
        <v>0</v>
      </c>
      <c r="BH113" s="14">
        <f>G113*AO113</f>
        <v>0</v>
      </c>
      <c r="BI113" s="14">
        <f>G113*H113</f>
        <v>0</v>
      </c>
      <c r="BJ113" s="14" t="s">
        <v>164</v>
      </c>
      <c r="BK113" s="21">
        <v>784</v>
      </c>
    </row>
    <row r="114" spans="1:63" ht="12.75">
      <c r="A114" s="3" t="s">
        <v>80</v>
      </c>
      <c r="B114" s="9" t="s">
        <v>163</v>
      </c>
      <c r="C114" s="139" t="s">
        <v>271</v>
      </c>
      <c r="D114" s="140"/>
      <c r="E114" s="140"/>
      <c r="F114" s="9" t="s">
        <v>291</v>
      </c>
      <c r="G114" s="14">
        <v>522</v>
      </c>
      <c r="H114" s="14">
        <v>0</v>
      </c>
      <c r="I114" s="14">
        <f>G114*AN114</f>
        <v>0</v>
      </c>
      <c r="J114" s="14">
        <f>G114*AO114</f>
        <v>0</v>
      </c>
      <c r="K114" s="14">
        <f>G114*H114</f>
        <v>0</v>
      </c>
      <c r="L114" s="18"/>
      <c r="Y114" s="21">
        <f>IF(AP114="5",BI114,0)</f>
        <v>0</v>
      </c>
      <c r="AA114" s="21">
        <f>IF(AP114="1",BG114,0)</f>
        <v>0</v>
      </c>
      <c r="AB114" s="21">
        <f>IF(AP114="1",BH114,0)</f>
        <v>0</v>
      </c>
      <c r="AC114" s="21">
        <f>IF(AP114="7",BG114,0)</f>
        <v>0</v>
      </c>
      <c r="AD114" s="21">
        <f>IF(AP114="7",BH114,0)</f>
        <v>0</v>
      </c>
      <c r="AE114" s="21">
        <f>IF(AP114="2",BG114,0)</f>
        <v>0</v>
      </c>
      <c r="AF114" s="21">
        <f>IF(AP114="2",BH114,0)</f>
        <v>0</v>
      </c>
      <c r="AG114" s="21">
        <f>IF(AP114="0",BI114,0)</f>
        <v>0</v>
      </c>
      <c r="AH114" s="20" t="s">
        <v>328</v>
      </c>
      <c r="AI114" s="14">
        <f>IF(AM114=0,K114,0)</f>
        <v>0</v>
      </c>
      <c r="AJ114" s="14">
        <f>IF(AM114=15,K114,0)</f>
        <v>0</v>
      </c>
      <c r="AK114" s="14">
        <f>IF(AM114=21,K114,0)</f>
        <v>0</v>
      </c>
      <c r="AM114" s="21">
        <v>15</v>
      </c>
      <c r="AN114" s="21">
        <f>H114*0.0956378901259354</f>
        <v>0</v>
      </c>
      <c r="AO114" s="21">
        <f>H114*(1-0.0956378901259354)</f>
        <v>0</v>
      </c>
      <c r="AP114" s="22" t="s">
        <v>13</v>
      </c>
      <c r="AU114" s="21">
        <f>AV114+AW114</f>
        <v>0</v>
      </c>
      <c r="AV114" s="21">
        <f>G114*AN114</f>
        <v>0</v>
      </c>
      <c r="AW114" s="21">
        <f>G114*AO114</f>
        <v>0</v>
      </c>
      <c r="AX114" s="24" t="s">
        <v>338</v>
      </c>
      <c r="AY114" s="24" t="s">
        <v>361</v>
      </c>
      <c r="AZ114" s="20" t="s">
        <v>373</v>
      </c>
      <c r="BB114" s="21">
        <f>AV114+AW114</f>
        <v>0</v>
      </c>
      <c r="BC114" s="21">
        <f>H114/(100-BD114)*100</f>
        <v>0</v>
      </c>
      <c r="BD114" s="21">
        <v>0</v>
      </c>
      <c r="BE114" s="21">
        <f>114</f>
        <v>114</v>
      </c>
      <c r="BG114" s="14">
        <f>G114*AN114</f>
        <v>0</v>
      </c>
      <c r="BH114" s="14">
        <f>G114*AO114</f>
        <v>0</v>
      </c>
      <c r="BI114" s="14">
        <f>G114*H114</f>
        <v>0</v>
      </c>
      <c r="BJ114" s="14" t="s">
        <v>164</v>
      </c>
      <c r="BK114" s="21">
        <v>784</v>
      </c>
    </row>
    <row r="115" spans="1:12" ht="12.75">
      <c r="A115" s="65"/>
      <c r="B115" s="66"/>
      <c r="C115" s="143" t="s">
        <v>272</v>
      </c>
      <c r="D115" s="144"/>
      <c r="E115" s="145"/>
      <c r="F115" s="65" t="s">
        <v>6</v>
      </c>
      <c r="G115" s="65" t="s">
        <v>6</v>
      </c>
      <c r="H115" s="65" t="s">
        <v>6</v>
      </c>
      <c r="I115" s="67">
        <f>I116+I118</f>
        <v>0</v>
      </c>
      <c r="J115" s="67">
        <f>J116+J118</f>
        <v>0</v>
      </c>
      <c r="K115" s="67">
        <f>K116+K118</f>
        <v>0</v>
      </c>
      <c r="L115" s="61"/>
    </row>
    <row r="116" spans="1:46" ht="12.75">
      <c r="A116" s="2"/>
      <c r="B116" s="8" t="s">
        <v>164</v>
      </c>
      <c r="C116" s="137" t="s">
        <v>273</v>
      </c>
      <c r="D116" s="138"/>
      <c r="E116" s="138"/>
      <c r="F116" s="12" t="s">
        <v>6</v>
      </c>
      <c r="G116" s="12" t="s">
        <v>6</v>
      </c>
      <c r="H116" s="12" t="s">
        <v>6</v>
      </c>
      <c r="I116" s="26">
        <f>SUM(I117:I117)</f>
        <v>0</v>
      </c>
      <c r="J116" s="26">
        <f>SUM(J117:J117)</f>
        <v>0</v>
      </c>
      <c r="K116" s="26">
        <f>SUM(K117:K117)</f>
        <v>0</v>
      </c>
      <c r="L116" s="18"/>
      <c r="AH116" s="20" t="s">
        <v>329</v>
      </c>
      <c r="AR116" s="26">
        <f>SUM(AI117:AI117)</f>
        <v>0</v>
      </c>
      <c r="AS116" s="26">
        <f>SUM(AJ117:AJ117)</f>
        <v>0</v>
      </c>
      <c r="AT116" s="26">
        <f>SUM(AK117:AK117)</f>
        <v>0</v>
      </c>
    </row>
    <row r="117" spans="1:63" ht="12.75">
      <c r="A117" s="3" t="s">
        <v>81</v>
      </c>
      <c r="B117" s="9" t="s">
        <v>165</v>
      </c>
      <c r="C117" s="139" t="s">
        <v>274</v>
      </c>
      <c r="D117" s="140"/>
      <c r="E117" s="140"/>
      <c r="F117" s="9" t="s">
        <v>294</v>
      </c>
      <c r="G117" s="14">
        <v>67.19339</v>
      </c>
      <c r="H117" s="14">
        <v>0</v>
      </c>
      <c r="I117" s="14">
        <f>G117*AN117</f>
        <v>0</v>
      </c>
      <c r="J117" s="14">
        <f>G117*AO117</f>
        <v>0</v>
      </c>
      <c r="K117" s="14">
        <f>G117*H117</f>
        <v>0</v>
      </c>
      <c r="L117" s="18"/>
      <c r="Y117" s="21">
        <f>IF(AP117="5",BI117,0)</f>
        <v>0</v>
      </c>
      <c r="AA117" s="21">
        <f>IF(AP117="1",BG117,0)</f>
        <v>0</v>
      </c>
      <c r="AB117" s="21">
        <f>IF(AP117="1",BH117,0)</f>
        <v>0</v>
      </c>
      <c r="AC117" s="21">
        <f>IF(AP117="7",BG117,0)</f>
        <v>0</v>
      </c>
      <c r="AD117" s="21">
        <f>IF(AP117="7",BH117,0)</f>
        <v>0</v>
      </c>
      <c r="AE117" s="21">
        <f>IF(AP117="2",BG117,0)</f>
        <v>0</v>
      </c>
      <c r="AF117" s="21">
        <f>IF(AP117="2",BH117,0)</f>
        <v>0</v>
      </c>
      <c r="AG117" s="21">
        <f>IF(AP117="0",BI117,0)</f>
        <v>0</v>
      </c>
      <c r="AH117" s="20" t="s">
        <v>329</v>
      </c>
      <c r="AI117" s="14">
        <f>IF(AM117=0,K117,0)</f>
        <v>0</v>
      </c>
      <c r="AJ117" s="14">
        <f>IF(AM117=15,K117,0)</f>
        <v>0</v>
      </c>
      <c r="AK117" s="14">
        <f>IF(AM117=21,K117,0)</f>
        <v>0</v>
      </c>
      <c r="AM117" s="21">
        <v>15</v>
      </c>
      <c r="AN117" s="21">
        <f>H117*0</f>
        <v>0</v>
      </c>
      <c r="AO117" s="21">
        <f>H117*(1-0)</f>
        <v>0</v>
      </c>
      <c r="AP117" s="22" t="s">
        <v>11</v>
      </c>
      <c r="AU117" s="21">
        <f>AV117+AW117</f>
        <v>0</v>
      </c>
      <c r="AV117" s="21">
        <f>G117*AN117</f>
        <v>0</v>
      </c>
      <c r="AW117" s="21">
        <f>G117*AO117</f>
        <v>0</v>
      </c>
      <c r="AX117" s="24" t="s">
        <v>344</v>
      </c>
      <c r="AY117" s="24" t="s">
        <v>362</v>
      </c>
      <c r="AZ117" s="20" t="s">
        <v>374</v>
      </c>
      <c r="BB117" s="21">
        <f>AV117+AW117</f>
        <v>0</v>
      </c>
      <c r="BC117" s="21">
        <f>H117/(100-BD117)*100</f>
        <v>0</v>
      </c>
      <c r="BD117" s="21">
        <v>0</v>
      </c>
      <c r="BE117" s="21">
        <f>117</f>
        <v>117</v>
      </c>
      <c r="BG117" s="14">
        <f>G117*AN117</f>
        <v>0</v>
      </c>
      <c r="BH117" s="14">
        <f>G117*AO117</f>
        <v>0</v>
      </c>
      <c r="BI117" s="14">
        <f>G117*H117</f>
        <v>0</v>
      </c>
      <c r="BJ117" s="14" t="s">
        <v>164</v>
      </c>
      <c r="BK117" s="21" t="s">
        <v>164</v>
      </c>
    </row>
    <row r="118" spans="1:46" ht="12.75">
      <c r="A118" s="2"/>
      <c r="B118" s="8" t="s">
        <v>166</v>
      </c>
      <c r="C118" s="137" t="s">
        <v>275</v>
      </c>
      <c r="D118" s="138"/>
      <c r="E118" s="138"/>
      <c r="F118" s="12" t="s">
        <v>6</v>
      </c>
      <c r="G118" s="12" t="s">
        <v>6</v>
      </c>
      <c r="H118" s="12" t="s">
        <v>6</v>
      </c>
      <c r="I118" s="26">
        <f>SUM(I119:I121)</f>
        <v>0</v>
      </c>
      <c r="J118" s="26">
        <f>SUM(J119:J121)</f>
        <v>0</v>
      </c>
      <c r="K118" s="26">
        <f>SUM(K119:K121)</f>
        <v>0</v>
      </c>
      <c r="L118" s="18"/>
      <c r="AH118" s="20" t="s">
        <v>329</v>
      </c>
      <c r="AR118" s="26">
        <f>SUM(AI119:AI121)</f>
        <v>0</v>
      </c>
      <c r="AS118" s="26">
        <f>SUM(AJ119:AJ121)</f>
        <v>0</v>
      </c>
      <c r="AT118" s="26">
        <f>SUM(AK119:AK121)</f>
        <v>0</v>
      </c>
    </row>
    <row r="119" spans="1:63" ht="12.75">
      <c r="A119" s="3" t="s">
        <v>82</v>
      </c>
      <c r="B119" s="9" t="s">
        <v>167</v>
      </c>
      <c r="C119" s="139" t="s">
        <v>276</v>
      </c>
      <c r="D119" s="140"/>
      <c r="E119" s="140"/>
      <c r="F119" s="9" t="s">
        <v>294</v>
      </c>
      <c r="G119" s="14">
        <v>17.8</v>
      </c>
      <c r="H119" s="14">
        <v>0</v>
      </c>
      <c r="I119" s="14">
        <f>G119*AN119</f>
        <v>0</v>
      </c>
      <c r="J119" s="14">
        <f>G119*AO119</f>
        <v>0</v>
      </c>
      <c r="K119" s="14">
        <f>G119*H119</f>
        <v>0</v>
      </c>
      <c r="L119" s="18"/>
      <c r="Y119" s="21">
        <f>IF(AP119="5",BI119,0)</f>
        <v>0</v>
      </c>
      <c r="AA119" s="21">
        <f>IF(AP119="1",BG119,0)</f>
        <v>0</v>
      </c>
      <c r="AB119" s="21">
        <f>IF(AP119="1",BH119,0)</f>
        <v>0</v>
      </c>
      <c r="AC119" s="21">
        <f>IF(AP119="7",BG119,0)</f>
        <v>0</v>
      </c>
      <c r="AD119" s="21">
        <f>IF(AP119="7",BH119,0)</f>
        <v>0</v>
      </c>
      <c r="AE119" s="21">
        <f>IF(AP119="2",BG119,0)</f>
        <v>0</v>
      </c>
      <c r="AF119" s="21">
        <f>IF(AP119="2",BH119,0)</f>
        <v>0</v>
      </c>
      <c r="AG119" s="21">
        <f>IF(AP119="0",BI119,0)</f>
        <v>0</v>
      </c>
      <c r="AH119" s="20" t="s">
        <v>329</v>
      </c>
      <c r="AI119" s="14">
        <f>IF(AM119=0,K119,0)</f>
        <v>0</v>
      </c>
      <c r="AJ119" s="14">
        <f>IF(AM119=15,K119,0)</f>
        <v>0</v>
      </c>
      <c r="AK119" s="14">
        <f>IF(AM119=21,K119,0)</f>
        <v>0</v>
      </c>
      <c r="AM119" s="21">
        <v>15</v>
      </c>
      <c r="AN119" s="21">
        <f>H119*0</f>
        <v>0</v>
      </c>
      <c r="AO119" s="21">
        <f>H119*(1-0)</f>
        <v>0</v>
      </c>
      <c r="AP119" s="22" t="s">
        <v>11</v>
      </c>
      <c r="AU119" s="21">
        <f>AV119+AW119</f>
        <v>0</v>
      </c>
      <c r="AV119" s="21">
        <f>G119*AN119</f>
        <v>0</v>
      </c>
      <c r="AW119" s="21">
        <f>G119*AO119</f>
        <v>0</v>
      </c>
      <c r="AX119" s="24" t="s">
        <v>345</v>
      </c>
      <c r="AY119" s="24" t="s">
        <v>362</v>
      </c>
      <c r="AZ119" s="20" t="s">
        <v>374</v>
      </c>
      <c r="BB119" s="21">
        <f>AV119+AW119</f>
        <v>0</v>
      </c>
      <c r="BC119" s="21">
        <f>H119/(100-BD119)*100</f>
        <v>0</v>
      </c>
      <c r="BD119" s="21">
        <v>0</v>
      </c>
      <c r="BE119" s="21">
        <f>119</f>
        <v>119</v>
      </c>
      <c r="BG119" s="14">
        <f>G119*AN119</f>
        <v>0</v>
      </c>
      <c r="BH119" s="14">
        <f>G119*AO119</f>
        <v>0</v>
      </c>
      <c r="BI119" s="14">
        <f>G119*H119</f>
        <v>0</v>
      </c>
      <c r="BJ119" s="14" t="s">
        <v>164</v>
      </c>
      <c r="BK119" s="21" t="s">
        <v>166</v>
      </c>
    </row>
    <row r="120" spans="1:63" ht="12.75">
      <c r="A120" s="3" t="s">
        <v>83</v>
      </c>
      <c r="B120" s="9" t="s">
        <v>168</v>
      </c>
      <c r="C120" s="139" t="s">
        <v>277</v>
      </c>
      <c r="D120" s="140"/>
      <c r="E120" s="140"/>
      <c r="F120" s="9" t="s">
        <v>294</v>
      </c>
      <c r="G120" s="14">
        <v>17.8</v>
      </c>
      <c r="H120" s="14">
        <v>0</v>
      </c>
      <c r="I120" s="14">
        <f>G120*AN120</f>
        <v>0</v>
      </c>
      <c r="J120" s="14">
        <f>G120*AO120</f>
        <v>0</v>
      </c>
      <c r="K120" s="14">
        <f>G120*H120</f>
        <v>0</v>
      </c>
      <c r="L120" s="18"/>
      <c r="Y120" s="21">
        <f>IF(AP120="5",BI120,0)</f>
        <v>0</v>
      </c>
      <c r="AA120" s="21">
        <f>IF(AP120="1",BG120,0)</f>
        <v>0</v>
      </c>
      <c r="AB120" s="21">
        <f>IF(AP120="1",BH120,0)</f>
        <v>0</v>
      </c>
      <c r="AC120" s="21">
        <f>IF(AP120="7",BG120,0)</f>
        <v>0</v>
      </c>
      <c r="AD120" s="21">
        <f>IF(AP120="7",BH120,0)</f>
        <v>0</v>
      </c>
      <c r="AE120" s="21">
        <f>IF(AP120="2",BG120,0)</f>
        <v>0</v>
      </c>
      <c r="AF120" s="21">
        <f>IF(AP120="2",BH120,0)</f>
        <v>0</v>
      </c>
      <c r="AG120" s="21">
        <f>IF(AP120="0",BI120,0)</f>
        <v>0</v>
      </c>
      <c r="AH120" s="20" t="s">
        <v>329</v>
      </c>
      <c r="AI120" s="14">
        <f>IF(AM120=0,K120,0)</f>
        <v>0</v>
      </c>
      <c r="AJ120" s="14">
        <f>IF(AM120=15,K120,0)</f>
        <v>0</v>
      </c>
      <c r="AK120" s="14">
        <f>IF(AM120=21,K120,0)</f>
        <v>0</v>
      </c>
      <c r="AM120" s="21">
        <v>15</v>
      </c>
      <c r="AN120" s="21">
        <f>H120*0.010917670808483</f>
        <v>0</v>
      </c>
      <c r="AO120" s="21">
        <f>H120*(1-0.010917670808483)</f>
        <v>0</v>
      </c>
      <c r="AP120" s="22" t="s">
        <v>11</v>
      </c>
      <c r="AU120" s="21">
        <f>AV120+AW120</f>
        <v>0</v>
      </c>
      <c r="AV120" s="21">
        <f>G120*AN120</f>
        <v>0</v>
      </c>
      <c r="AW120" s="21">
        <f>G120*AO120</f>
        <v>0</v>
      </c>
      <c r="AX120" s="24" t="s">
        <v>345</v>
      </c>
      <c r="AY120" s="24" t="s">
        <v>362</v>
      </c>
      <c r="AZ120" s="20" t="s">
        <v>374</v>
      </c>
      <c r="BB120" s="21">
        <f>AV120+AW120</f>
        <v>0</v>
      </c>
      <c r="BC120" s="21">
        <f>H120/(100-BD120)*100</f>
        <v>0</v>
      </c>
      <c r="BD120" s="21">
        <v>0</v>
      </c>
      <c r="BE120" s="21">
        <f>120</f>
        <v>120</v>
      </c>
      <c r="BG120" s="14">
        <f>G120*AN120</f>
        <v>0</v>
      </c>
      <c r="BH120" s="14">
        <f>G120*AO120</f>
        <v>0</v>
      </c>
      <c r="BI120" s="14">
        <f>G120*H120</f>
        <v>0</v>
      </c>
      <c r="BJ120" s="14" t="s">
        <v>164</v>
      </c>
      <c r="BK120" s="21" t="s">
        <v>166</v>
      </c>
    </row>
    <row r="121" spans="1:63" ht="12.75">
      <c r="A121" s="4" t="s">
        <v>84</v>
      </c>
      <c r="B121" s="10" t="s">
        <v>169</v>
      </c>
      <c r="C121" s="146" t="s">
        <v>278</v>
      </c>
      <c r="D121" s="147"/>
      <c r="E121" s="147"/>
      <c r="F121" s="10" t="s">
        <v>294</v>
      </c>
      <c r="G121" s="16">
        <v>17.8</v>
      </c>
      <c r="H121" s="16">
        <v>0</v>
      </c>
      <c r="I121" s="16">
        <f>G121*AN121</f>
        <v>0</v>
      </c>
      <c r="J121" s="16">
        <f>G121*AO121</f>
        <v>0</v>
      </c>
      <c r="K121" s="16">
        <f>G121*H121</f>
        <v>0</v>
      </c>
      <c r="L121" s="18"/>
      <c r="Y121" s="21">
        <f>IF(AP121="5",BI121,0)</f>
        <v>0</v>
      </c>
      <c r="AA121" s="21">
        <f>IF(AP121="1",BG121,0)</f>
        <v>0</v>
      </c>
      <c r="AB121" s="21">
        <f>IF(AP121="1",BH121,0)</f>
        <v>0</v>
      </c>
      <c r="AC121" s="21">
        <f>IF(AP121="7",BG121,0)</f>
        <v>0</v>
      </c>
      <c r="AD121" s="21">
        <f>IF(AP121="7",BH121,0)</f>
        <v>0</v>
      </c>
      <c r="AE121" s="21">
        <f>IF(AP121="2",BG121,0)</f>
        <v>0</v>
      </c>
      <c r="AF121" s="21">
        <f>IF(AP121="2",BH121,0)</f>
        <v>0</v>
      </c>
      <c r="AG121" s="21">
        <f>IF(AP121="0",BI121,0)</f>
        <v>0</v>
      </c>
      <c r="AH121" s="20" t="s">
        <v>329</v>
      </c>
      <c r="AI121" s="14">
        <f>IF(AM121=0,K121,0)</f>
        <v>0</v>
      </c>
      <c r="AJ121" s="14">
        <f>IF(AM121=15,K121,0)</f>
        <v>0</v>
      </c>
      <c r="AK121" s="14">
        <f>IF(AM121=21,K121,0)</f>
        <v>0</v>
      </c>
      <c r="AM121" s="21">
        <v>15</v>
      </c>
      <c r="AN121" s="21">
        <f>H121*0</f>
        <v>0</v>
      </c>
      <c r="AO121" s="21">
        <f>H121*(1-0)</f>
        <v>0</v>
      </c>
      <c r="AP121" s="22" t="s">
        <v>11</v>
      </c>
      <c r="AU121" s="21">
        <f>AV121+AW121</f>
        <v>0</v>
      </c>
      <c r="AV121" s="21">
        <f>G121*AN121</f>
        <v>0</v>
      </c>
      <c r="AW121" s="21">
        <f>G121*AO121</f>
        <v>0</v>
      </c>
      <c r="AX121" s="24" t="s">
        <v>345</v>
      </c>
      <c r="AY121" s="24" t="s">
        <v>362</v>
      </c>
      <c r="AZ121" s="20" t="s">
        <v>374</v>
      </c>
      <c r="BB121" s="21">
        <f>AV121+AW121</f>
        <v>0</v>
      </c>
      <c r="BC121" s="21">
        <f>H121/(100-BD121)*100</f>
        <v>0</v>
      </c>
      <c r="BD121" s="21">
        <v>0</v>
      </c>
      <c r="BE121" s="21">
        <f>121</f>
        <v>121</v>
      </c>
      <c r="BG121" s="14">
        <f>G121*AN121</f>
        <v>0</v>
      </c>
      <c r="BH121" s="14">
        <f>G121*AO121</f>
        <v>0</v>
      </c>
      <c r="BI121" s="14">
        <f>G121*H121</f>
        <v>0</v>
      </c>
      <c r="BJ121" s="14" t="s">
        <v>164</v>
      </c>
      <c r="BK121" s="21" t="s">
        <v>166</v>
      </c>
    </row>
    <row r="122" spans="1:11" ht="12.75">
      <c r="A122" s="5"/>
      <c r="B122" s="5"/>
      <c r="C122" s="5"/>
      <c r="D122" s="5"/>
      <c r="E122" s="5"/>
      <c r="F122" s="5"/>
      <c r="G122" s="5"/>
      <c r="H122" s="5"/>
      <c r="I122" s="148" t="s">
        <v>306</v>
      </c>
      <c r="J122" s="81"/>
      <c r="K122" s="27">
        <f>K13+K30+K34+K36+K39+K51+K53+K59+K61+K63+K65+K69+K77+K84+K91+K102+K106+K112+K116+K118</f>
        <v>0</v>
      </c>
    </row>
    <row r="123" ht="11.25" customHeight="1">
      <c r="A123" s="6" t="s">
        <v>85</v>
      </c>
    </row>
    <row r="124" spans="1:11" ht="12.75">
      <c r="A124" s="87"/>
      <c r="B124" s="79"/>
      <c r="C124" s="79"/>
      <c r="D124" s="79"/>
      <c r="E124" s="79"/>
      <c r="F124" s="79"/>
      <c r="G124" s="79"/>
      <c r="H124" s="79"/>
      <c r="I124" s="79"/>
      <c r="J124" s="79"/>
      <c r="K124" s="79"/>
    </row>
  </sheetData>
  <sheetProtection/>
  <mergeCells count="140">
    <mergeCell ref="A124:K124"/>
    <mergeCell ref="C117:E117"/>
    <mergeCell ref="C118:E118"/>
    <mergeCell ref="C119:E119"/>
    <mergeCell ref="C120:E120"/>
    <mergeCell ref="C121:E121"/>
    <mergeCell ref="I122:J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K9"/>
    <mergeCell ref="A6:B7"/>
    <mergeCell ref="C6:C7"/>
    <mergeCell ref="D6:E7"/>
    <mergeCell ref="F6:G7"/>
    <mergeCell ref="H6:H7"/>
    <mergeCell ref="I6:K7"/>
    <mergeCell ref="A4:B5"/>
    <mergeCell ref="C4:C5"/>
    <mergeCell ref="D4:E5"/>
    <mergeCell ref="F4:G5"/>
    <mergeCell ref="H4:H5"/>
    <mergeCell ref="I4:K5"/>
    <mergeCell ref="A1:K1"/>
    <mergeCell ref="A2:B3"/>
    <mergeCell ref="C2:C3"/>
    <mergeCell ref="D2:E3"/>
    <mergeCell ref="F2:G3"/>
    <mergeCell ref="H2:H3"/>
    <mergeCell ref="I2:K3"/>
  </mergeCells>
  <printOptions/>
  <pageMargins left="0.394" right="0.394" top="0.591" bottom="0.591" header="0.5" footer="0.5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Hriš</cp:lastModifiedBy>
  <dcterms:modified xsi:type="dcterms:W3CDTF">2024-03-19T13:36:48Z</dcterms:modified>
  <cp:category/>
  <cp:version/>
  <cp:contentType/>
  <cp:contentStatus/>
</cp:coreProperties>
</file>