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28" yWindow="65428" windowWidth="30936" windowHeight="16896" firstSheet="7" activeTab="12"/>
  </bookViews>
  <sheets>
    <sheet name="Pokyny pro vyplnění" sheetId="23" r:id="rId1"/>
    <sheet name="Stavba" sheetId="22" r:id="rId2"/>
    <sheet name="00 0 Naklady" sheetId="21" r:id="rId3"/>
    <sheet name="SO 001.A.2,B,C,D " sheetId="20" r:id="rId4"/>
    <sheet name="SO 101.A.2" sheetId="1" r:id="rId5"/>
    <sheet name="SO 101.1.A.2 " sheetId="2" r:id="rId6"/>
    <sheet name="SO 102.B" sheetId="3" r:id="rId7"/>
    <sheet name="SO 102.1.B" sheetId="4" r:id="rId8"/>
    <sheet name="SO 103.C" sheetId="5" r:id="rId9"/>
    <sheet name="SO 103.1.C" sheetId="6" r:id="rId10"/>
    <sheet name="SO 104.D" sheetId="7" r:id="rId11"/>
    <sheet name="SO 104.1.D" sheetId="8" r:id="rId12"/>
    <sheet name="SO 300, SO 301, SO 302. A.2.B.C" sheetId="9" r:id="rId13"/>
    <sheet name="SO 305, SO 306.A.2.B,C" sheetId="10" r:id="rId14"/>
    <sheet name="SO 303, SO 304.A.2.B.C" sheetId="11" r:id="rId15"/>
    <sheet name="SO 405.1-P.D" sheetId="12" r:id="rId16"/>
    <sheet name="SO 405.1-N.D" sheetId="13" r:id="rId17"/>
    <sheet name="SO 405.A.2.B" sheetId="14" r:id="rId18"/>
    <sheet name="SO 406.C" sheetId="15" r:id="rId19"/>
    <sheet name="SO 501.A.2" sheetId="16" r:id="rId20"/>
    <sheet name="SO 502, SO 503.A.2.B.C" sheetId="17" r:id="rId21"/>
    <sheet name="SO 801.A.2.B.C.D" sheetId="19" r:id="rId22"/>
  </sheets>
  <externalReferences>
    <externalReference r:id="rId25"/>
    <externalReference r:id="rId26"/>
    <externalReference r:id="rId27"/>
  </externalReferences>
  <definedNames>
    <definedName name="CelkemDPHVypocet" localSheetId="1">'Stavba'!$H$61</definedName>
    <definedName name="CenaCelkem">'Stavba'!$G$29</definedName>
    <definedName name="CenaCelkemBezDPH" localSheetId="0">'[1]Stavba'!$G$28</definedName>
    <definedName name="CenaCelkemBezDPH">'[2]Stavba'!$G$28</definedName>
    <definedName name="CenaCelkemVypocet" localSheetId="1">'Stavba'!$I$61</definedName>
    <definedName name="cisloobjektu">'Stavba'!$D$3</definedName>
    <definedName name="CisloRozpoctu">'[3]Krycí list'!$C$2</definedName>
    <definedName name="CisloStavby" localSheetId="1">'Stavba'!$D$2</definedName>
    <definedName name="cislostavby">'[3]Krycí list'!$A$7</definedName>
    <definedName name="CisloStavebnihoRozpoctu">'Stavba'!$D$4</definedName>
    <definedName name="dadresa">'Stavba'!$D$12:$G$12</definedName>
    <definedName name="DIČ" localSheetId="1">'Stavba'!$I$12</definedName>
    <definedName name="dmisto">'Stavba'!$E$13:$G$13</definedName>
    <definedName name="DPHSni" localSheetId="0">'[1]Stavba'!$G$24</definedName>
    <definedName name="DPHSni">'[2]Stavba'!$G$24</definedName>
    <definedName name="DPHZakl" localSheetId="0">'[1]Stavba'!$G$26</definedName>
    <definedName name="DPHZakl">'[2]Stavba'!$G$26</definedName>
    <definedName name="dpsc" localSheetId="1">'Stavba'!$D$13</definedName>
    <definedName name="IČO" localSheetId="1">'Stavba'!$I$11</definedName>
    <definedName name="Mena" localSheetId="0">'[1]Stavba'!$J$29</definedName>
    <definedName name="Mena">'[2]Stavba'!$J$29</definedName>
    <definedName name="MistoStavby">'Stavba'!$D$4</definedName>
    <definedName name="nazevobjektu">'Stavba'!$E$3</definedName>
    <definedName name="NazevRozpoctu">'[3]Krycí list'!$D$2</definedName>
    <definedName name="NazevStavby" localSheetId="1">'Stavba'!$E$2</definedName>
    <definedName name="nazevstavby">'[3]Krycí list'!$C$7</definedName>
    <definedName name="NazevStavebnihoRozpoctu">'Stavba'!$E$4</definedName>
    <definedName name="oadresa">'Stavba'!$D$6</definedName>
    <definedName name="Objednatel" localSheetId="1">'Stavba'!$D$5</definedName>
    <definedName name="Objekt" localSheetId="1">'Stavba'!$B$38</definedName>
    <definedName name="_xlnm.Print_Area" localSheetId="2">'00 0 Naklady'!$A$1:$X$49</definedName>
    <definedName name="_xlnm.Print_Area" localSheetId="3">'SO 001.A.2,B,C,D '!$A$1:$X$168</definedName>
    <definedName name="_xlnm.Print_Area" localSheetId="5">'SO 101.1.A.2 '!$A$1:$M$57</definedName>
    <definedName name="_xlnm.Print_Area" localSheetId="4">'SO 101.A.2'!$A$1:$M$223</definedName>
    <definedName name="_xlnm.Print_Area" localSheetId="7">'SO 102.1.B'!$A$1:$M$61</definedName>
    <definedName name="_xlnm.Print_Area" localSheetId="6">'SO 102.B'!$A$1:$M$252</definedName>
    <definedName name="_xlnm.Print_Area" localSheetId="9">'SO 103.1.C'!$A$1:$M$65</definedName>
    <definedName name="_xlnm.Print_Area" localSheetId="8">'SO 103.C'!$A$1:$M$196</definedName>
    <definedName name="_xlnm.Print_Area" localSheetId="11">'SO 104.1.D'!$A$1:$M$82</definedName>
    <definedName name="_xlnm.Print_Area" localSheetId="10">'SO 104.D'!$A$1:$M$329</definedName>
    <definedName name="_xlnm.Print_Area" localSheetId="12">'SO 300, SO 301, SO 302. A.2.B.C'!$B$3:$AD$127</definedName>
    <definedName name="_xlnm.Print_Area" localSheetId="14">'SO 303, SO 304.A.2.B.C'!$B$2:$L$73</definedName>
    <definedName name="_xlnm.Print_Area" localSheetId="13">'SO 305, SO 306.A.2.B,C'!$B$2:$O$66</definedName>
    <definedName name="_xlnm.Print_Area" localSheetId="16">'SO 405.1-N.D'!$B$2:$AU$39</definedName>
    <definedName name="_xlnm.Print_Area" localSheetId="15">'SO 405.1-P.D'!$B$2:$AC$94</definedName>
    <definedName name="_xlnm.Print_Area" localSheetId="17">'SO 405.A.2.B'!$B$2:$L$126</definedName>
    <definedName name="_xlnm.Print_Area" localSheetId="18">'SO 406.C'!$B$2:$L$80</definedName>
    <definedName name="_xlnm.Print_Area" localSheetId="19">'SO 501.A.2'!$B$2:$BV$76</definedName>
    <definedName name="_xlnm.Print_Area" localSheetId="20">'SO 502, SO 503.A.2.B.C'!$B$2:$L$86</definedName>
    <definedName name="_xlnm.Print_Area" localSheetId="21">'SO 801.A.2.B.C.D'!$A$1:$K$172</definedName>
    <definedName name="_xlnm.Print_Area" localSheetId="1">'Stavba'!$A$1:$J$62</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'[3]Krycí list'!$C$30</definedName>
    <definedName name="SazbaDPH2" localSheetId="1">'Stavba'!$E$25</definedName>
    <definedName name="SazbaDPH2">'[3]Krycí list'!$C$32</definedName>
    <definedName name="SloupecCC" localSheetId="0">#REF!</definedName>
    <definedName name="SloupecCC">#REF!</definedName>
    <definedName name="SloupecCisloPol" localSheetId="0">#REF!</definedName>
    <definedName name="SloupecCisloPol">#REF!</definedName>
    <definedName name="SloupecJC" localSheetId="0">#REF!</definedName>
    <definedName name="SloupecJC">#REF!</definedName>
    <definedName name="SloupecMJ" localSheetId="0">#REF!</definedName>
    <definedName name="SloupecMJ">#REF!</definedName>
    <definedName name="SloupecMnozstvi" localSheetId="0">#REF!</definedName>
    <definedName name="SloupecMnozstvi">#REF!</definedName>
    <definedName name="SloupecNazPol" localSheetId="0">#REF!</definedName>
    <definedName name="SloupecNazPol">#REF!</definedName>
    <definedName name="SloupecPC" localSheetId="0">#REF!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 localSheetId="0">'[1]Stavba'!$G$23</definedName>
    <definedName name="ZakladDPHSni">'[2]Stavba'!$G$23</definedName>
    <definedName name="ZakladDPHSniVypocet" localSheetId="1">'Stavba'!$F$61</definedName>
    <definedName name="ZakladDPHZakl" localSheetId="0">'[1]Stavba'!$G$25</definedName>
    <definedName name="ZakladDPHZakl">'[2]Stavba'!$G$25</definedName>
    <definedName name="ZakladDPHZaklVypocet" localSheetId="1">'Stavba'!$G$61</definedName>
    <definedName name="ZaObjednatele">'Stavba'!$G$34</definedName>
    <definedName name="Zaokrouhleni" localSheetId="0">'[1]Stavba'!$G$27</definedName>
    <definedName name="Zaokrouhleni">'[2]Stavba'!$G$27</definedName>
    <definedName name="ZaZhotovitele">'Stavba'!$D$34</definedName>
    <definedName name="Zhotovitel">'Stavba'!$D$11:$G$11</definedName>
    <definedName name="_xlnm.Print_Titles" localSheetId="2">'00 0 Naklady'!$1:$7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I11" authorId="0">
      <text>
        <r>
          <rPr>
            <sz val="9"/>
            <rFont val="Tahoma"/>
            <family val="2"/>
          </rPr>
          <t>IČO</t>
        </r>
      </text>
    </comment>
    <comment ref="D12" authorId="0">
      <text>
        <r>
          <rPr>
            <sz val="9"/>
            <rFont val="Tahoma"/>
            <family val="2"/>
          </rPr>
          <t>Ulice</t>
        </r>
      </text>
    </comment>
    <comment ref="I12" authorId="0">
      <text>
        <r>
          <rPr>
            <sz val="9"/>
            <rFont val="Tahoma"/>
            <family val="2"/>
          </rPr>
          <t>DIČ</t>
        </r>
      </text>
    </comment>
    <comment ref="D13" authorId="0">
      <text>
        <r>
          <rPr>
            <sz val="9"/>
            <rFont val="Tahoma"/>
            <family val="2"/>
          </rPr>
          <t>PSČ</t>
        </r>
      </text>
    </comment>
    <comment ref="E13" authorId="1">
      <text>
        <r>
          <rPr>
            <sz val="9"/>
            <rFont val="Tahoma"/>
            <family val="2"/>
          </rPr>
          <t>Místo</t>
        </r>
      </text>
    </comment>
  </commentList>
</comments>
</file>

<file path=xl/comments3.xml><?xml version="1.0" encoding="utf-8"?>
<comments xmlns="http://schemas.openxmlformats.org/spreadsheetml/2006/main">
  <authors>
    <author>lenka</author>
  </authors>
  <commentList>
    <comment ref="S6" authorId="0">
      <text>
        <r>
          <rPr>
            <sz val="9"/>
            <rFont val="Tahoma"/>
            <family val="2"/>
          </rPr>
          <t>Jedná se o informaci, zda se jedná o položku, která je do rozpočtu zadána z cenové soustavy RTS, nebo vlastní.</t>
        </r>
      </text>
    </comment>
  </commentList>
</comments>
</file>

<file path=xl/comments4.xml><?xml version="1.0" encoding="utf-8"?>
<comments xmlns="http://schemas.openxmlformats.org/spreadsheetml/2006/main">
  <authors>
    <author>lenka</author>
  </authors>
  <commentList>
    <comment ref="S6" authorId="0">
      <text>
        <r>
          <rPr>
            <sz val="9"/>
            <rFont val="Tahoma"/>
            <family val="2"/>
          </rPr>
          <t>Jedná se o informaci, zda se jedná o položku, která je do rozpočtu zadána z cenové soustavy RTS, nebo vlastní.</t>
        </r>
      </text>
    </comment>
  </commentList>
</comments>
</file>

<file path=xl/sharedStrings.xml><?xml version="1.0" encoding="utf-8"?>
<sst xmlns="http://schemas.openxmlformats.org/spreadsheetml/2006/main" count="15548" uniqueCount="2497">
  <si>
    <t>Stavební rozpočet</t>
  </si>
  <si>
    <t>Název stavby:</t>
  </si>
  <si>
    <t>TDI UL. K JEZERŮM - VÝMLATIŠTĚ, SO 101.A.2 - Komunikace, chodníky, zpevněné plochy, parkoviště -  úsek "A"</t>
  </si>
  <si>
    <t>Doba výstavby:</t>
  </si>
  <si>
    <t xml:space="preserve"> </t>
  </si>
  <si>
    <t>Objednatel:</t>
  </si>
  <si>
    <t>Statutární město Brno</t>
  </si>
  <si>
    <t>Druh stavby:</t>
  </si>
  <si>
    <t>novostavba</t>
  </si>
  <si>
    <t>Začátek výstavby:</t>
  </si>
  <si>
    <t>Projektant:</t>
  </si>
  <si>
    <t>MATULA projekt s.r.o., Jana Babáka 11, 612 00 Brno</t>
  </si>
  <si>
    <t>Lokalita:</t>
  </si>
  <si>
    <t>Brno - Tuřany, k.ú. Holásky</t>
  </si>
  <si>
    <t>Konec výstavby:</t>
  </si>
  <si>
    <t>Zhotovitel:</t>
  </si>
  <si>
    <t>JKSO:</t>
  </si>
  <si>
    <t>Zpracováno dne:</t>
  </si>
  <si>
    <t>Zpracoval:</t>
  </si>
  <si>
    <t>Č</t>
  </si>
  <si>
    <t>Kód</t>
  </si>
  <si>
    <t>Zkrácený popis / Varianta</t>
  </si>
  <si>
    <t>MJ</t>
  </si>
  <si>
    <t>Množství</t>
  </si>
  <si>
    <t>Cena/MJ</t>
  </si>
  <si>
    <t>Náklady (Kč)</t>
  </si>
  <si>
    <t>Hmotnost (t)</t>
  </si>
  <si>
    <t>Cenová</t>
  </si>
  <si>
    <t>ISWORK</t>
  </si>
  <si>
    <t>GROUPCODE</t>
  </si>
  <si>
    <t>Rozměry</t>
  </si>
  <si>
    <t>(Kč)</t>
  </si>
  <si>
    <t>Dodávka</t>
  </si>
  <si>
    <t>Montáž</t>
  </si>
  <si>
    <t>Celkem</t>
  </si>
  <si>
    <t>Jednot.</t>
  </si>
  <si>
    <t>soustava</t>
  </si>
  <si>
    <t>Přesuny</t>
  </si>
  <si>
    <t>Typ skupiny</t>
  </si>
  <si>
    <t>HSV mat</t>
  </si>
  <si>
    <t>HSV prac</t>
  </si>
  <si>
    <t>PSV mat</t>
  </si>
  <si>
    <t>PSV prac</t>
  </si>
  <si>
    <t>Mont mat</t>
  </si>
  <si>
    <t>Mont prac</t>
  </si>
  <si>
    <t>Ostatní mat.</t>
  </si>
  <si>
    <t>MAT</t>
  </si>
  <si>
    <t>WORK</t>
  </si>
  <si>
    <t>CELK</t>
  </si>
  <si>
    <t>11</t>
  </si>
  <si>
    <t>Přípravné a přidružené práce</t>
  </si>
  <si>
    <t>1</t>
  </si>
  <si>
    <t>113107630R00</t>
  </si>
  <si>
    <t>Odstranění podkladu nad 50 m2,kam.drcené tl.30 cm</t>
  </si>
  <si>
    <t>m2</t>
  </si>
  <si>
    <t>RTS I / 2022</t>
  </si>
  <si>
    <t>11_</t>
  </si>
  <si>
    <t>1_</t>
  </si>
  <si>
    <t>_</t>
  </si>
  <si>
    <t>P</t>
  </si>
  <si>
    <t>275+23</t>
  </si>
  <si>
    <t>RTS komentář:</t>
  </si>
  <si>
    <t>Položka je určena i pro odstranění podkladů nebo krytů ze zemin stabilizovaných vápnem. Pro volbu položky z hlediska množství se uvažuje každá souvisle odstraňovaná plocha krytu nebo podkladu stejného druhu samostatně.Odstraňuje-li se několik vrstev vozovky najednou, jednotlivé vrstvy se oceňují každá samostatně</t>
  </si>
  <si>
    <t>2</t>
  </si>
  <si>
    <t>113108310R00</t>
  </si>
  <si>
    <t>Odstranění asfaltové vrstvy pl. do 50 m2, tl.10 cm</t>
  </si>
  <si>
    <t>15</t>
  </si>
  <si>
    <t>3</t>
  </si>
  <si>
    <t>113106231R00</t>
  </si>
  <si>
    <t>Rozebrání dlažeb ze zámkové dlažby v kamenivu</t>
  </si>
  <si>
    <t>23</t>
  </si>
  <si>
    <t>4</t>
  </si>
  <si>
    <t>113202111R00</t>
  </si>
  <si>
    <t>Vytrhání obrub obrubníků silničních</t>
  </si>
  <si>
    <t>m</t>
  </si>
  <si>
    <t>13</t>
  </si>
  <si>
    <t>12</t>
  </si>
  <si>
    <t>Odkopávky a prokopávky</t>
  </si>
  <si>
    <t>5</t>
  </si>
  <si>
    <t>121101101R00</t>
  </si>
  <si>
    <t>Sejmutí ornice s přemístěním do 50 m</t>
  </si>
  <si>
    <t>m3</t>
  </si>
  <si>
    <t>12_</t>
  </si>
  <si>
    <t>1263*0,3</t>
  </si>
  <si>
    <t>V položce je obsaženo i uložení na dočasnou skládku v příslušné vzdálenosti, pokud na 1 m2 skládky nepřipadá více jak 2 m3 ornice. V opačném případě se uložení musí dokalkulovat.</t>
  </si>
  <si>
    <t>6</t>
  </si>
  <si>
    <t>122201102R00</t>
  </si>
  <si>
    <t>Odkopávky nezapažené v hor. 3 do 1000 m3</t>
  </si>
  <si>
    <t>1010/2</t>
  </si>
  <si>
    <t>7</t>
  </si>
  <si>
    <t>122301102R00</t>
  </si>
  <si>
    <t>Odkopávky nezapažené v hor. 4 do 1000 m3</t>
  </si>
  <si>
    <t>16</t>
  </si>
  <si>
    <t>Přemístění výkopku</t>
  </si>
  <si>
    <t>8</t>
  </si>
  <si>
    <t>162606112R00</t>
  </si>
  <si>
    <t>Vodorovné přemístění zemin pro zúrodnění do 5000 m</t>
  </si>
  <si>
    <t>16_</t>
  </si>
  <si>
    <t>9</t>
  </si>
  <si>
    <t>162601102R00</t>
  </si>
  <si>
    <t>Vodorovné přemístění výkopku z hor.1-4 do 5000 m</t>
  </si>
  <si>
    <t>1010-31-35</t>
  </si>
  <si>
    <t>17</t>
  </si>
  <si>
    <t>Konstrukce ze zemin</t>
  </si>
  <si>
    <t>10</t>
  </si>
  <si>
    <t>171101103R00</t>
  </si>
  <si>
    <t>Uložení sypaniny do násypů zhutněných na 100% PS</t>
  </si>
  <si>
    <t>17_</t>
  </si>
  <si>
    <t>31</t>
  </si>
  <si>
    <t>Položka se používá pro násypy z hornin soudržných.</t>
  </si>
  <si>
    <t>174101103R00</t>
  </si>
  <si>
    <t>Zásyp zářezů se šikmými stěnami se zhutněním</t>
  </si>
  <si>
    <t>35</t>
  </si>
  <si>
    <t>Položka obsahuje i přemístění materiálu pro zásyp ze vzdálenosti do 10 m od okraje zásypu.</t>
  </si>
  <si>
    <t>18</t>
  </si>
  <si>
    <t>Povrchové úpravy terénu</t>
  </si>
  <si>
    <t>181101102R00</t>
  </si>
  <si>
    <t>Úprava pláně v zářezech v hor. 1-4, se zhutněním</t>
  </si>
  <si>
    <t>18_</t>
  </si>
  <si>
    <t>610+230+38+210+8</t>
  </si>
  <si>
    <t>Položky jsou shodné i pro úpravu pláně v násypech.</t>
  </si>
  <si>
    <t>19</t>
  </si>
  <si>
    <t>Hloubení pro podzemní stěny, ražení a hloubení důlní</t>
  </si>
  <si>
    <t>199-01VD</t>
  </si>
  <si>
    <t>Poplatek za skládku zeminy</t>
  </si>
  <si>
    <t>t</t>
  </si>
  <si>
    <t>19_</t>
  </si>
  <si>
    <t>944*1,6</t>
  </si>
  <si>
    <t>14</t>
  </si>
  <si>
    <t>199000006R00</t>
  </si>
  <si>
    <t>Poplatek za skládku - ornice</t>
  </si>
  <si>
    <t>378,9*1,6</t>
  </si>
  <si>
    <t>56</t>
  </si>
  <si>
    <t>Podkladní vrstvy komunikací, letišť a ploch</t>
  </si>
  <si>
    <t>561-01VD</t>
  </si>
  <si>
    <t>Úprava podloží příměsí směsného pojiva tl. 40 cm</t>
  </si>
  <si>
    <t>56_</t>
  </si>
  <si>
    <t>5_</t>
  </si>
  <si>
    <t>Varianta:</t>
  </si>
  <si>
    <t>včetně dodávky pojiva</t>
  </si>
  <si>
    <t>610+230+38</t>
  </si>
  <si>
    <t>564861113RT2</t>
  </si>
  <si>
    <t>Podklad ze štěrkodrti po zhutnění tloušťky 22 cm</t>
  </si>
  <si>
    <t>štěrkodrť frakce 0-32 mm</t>
  </si>
  <si>
    <t>38</t>
  </si>
  <si>
    <t>tloušťka vrsty 200-240 mm</t>
  </si>
  <si>
    <t>564861114RT2</t>
  </si>
  <si>
    <t>Podklad ze štěrkodrti po zhutnění tloušťky 23 cm</t>
  </si>
  <si>
    <t>610</t>
  </si>
  <si>
    <t>tloušťka vrstvy 200-260 mm</t>
  </si>
  <si>
    <t>564851111RT2</t>
  </si>
  <si>
    <t>Podklad ze štěrkodrti po zhutnění tloušťky 15 cm</t>
  </si>
  <si>
    <t>207+8</t>
  </si>
  <si>
    <t>564851113RT2</t>
  </si>
  <si>
    <t>Podklad ze štěrkodrti po zhutnění tloušťky 17 cm</t>
  </si>
  <si>
    <t>230</t>
  </si>
  <si>
    <t>tloušťka vrstvy 140-190 mm</t>
  </si>
  <si>
    <t>20</t>
  </si>
  <si>
    <t>564871111RT2</t>
  </si>
  <si>
    <t>Podklad ze štěrkodrti po zhutnění tloušťky 25 cm</t>
  </si>
  <si>
    <t>210</t>
  </si>
  <si>
    <t>21</t>
  </si>
  <si>
    <t>567132113R00</t>
  </si>
  <si>
    <t>Podklad z kameniva zpev.cementem SC C8/10 tl.18 cm</t>
  </si>
  <si>
    <t>557</t>
  </si>
  <si>
    <t>22</t>
  </si>
  <si>
    <t>567142112R00</t>
  </si>
  <si>
    <t>Podklad z kameniva zpev.cementem SC C8/10 tl.22 cm</t>
  </si>
  <si>
    <t>tloušťka vrstvy 180-260 mm</t>
  </si>
  <si>
    <t>567122114R00</t>
  </si>
  <si>
    <t>Podklad z kameniva zpev.cementem SC C8/10 tl.15 cm</t>
  </si>
  <si>
    <t>207+7,2</t>
  </si>
  <si>
    <t>24</t>
  </si>
  <si>
    <t>565151211R00</t>
  </si>
  <si>
    <t>Podklad z obal kam.ACP 16+,ACP 22+,nad 3 m,tl.7 cm</t>
  </si>
  <si>
    <t>57</t>
  </si>
  <si>
    <t>Kryty pozemních komunikací, letišť a ploch z kameniva nebo živičné</t>
  </si>
  <si>
    <t>25</t>
  </si>
  <si>
    <t>577142112R00</t>
  </si>
  <si>
    <t>Beton asfaltový ACO 11+, ACO 16+, nad 3 m, tl.5 cm</t>
  </si>
  <si>
    <t>57_</t>
  </si>
  <si>
    <t>26</t>
  </si>
  <si>
    <t>573231110R00</t>
  </si>
  <si>
    <t>Postřik živičný spojovací z emulze 0,3-0,5 kg/m2</t>
  </si>
  <si>
    <t>557*2</t>
  </si>
  <si>
    <t>59</t>
  </si>
  <si>
    <t>Kryty pozemních komunikací, letišť a ploch dlážděných (předlažby)</t>
  </si>
  <si>
    <t>27</t>
  </si>
  <si>
    <t>596215040R00</t>
  </si>
  <si>
    <t>Kladení zámkové dlažby tl. 8 cm do drtě tl. 4 cm</t>
  </si>
  <si>
    <t>59_</t>
  </si>
  <si>
    <t>7,2</t>
  </si>
  <si>
    <t>sjezd-užití pův. dlažby</t>
  </si>
  <si>
    <t>předláždění v napojení-užití pův. dlažby</t>
  </si>
  <si>
    <t>207</t>
  </si>
  <si>
    <t>parkoviště</t>
  </si>
  <si>
    <t>prahy</t>
  </si>
  <si>
    <t>Od CÚ 2015/ II. není v jednotkové ceně započteno řezání dlaždic!!! Rozpočtuje se samostatnou položkou 596 29-1113.R00 Řezání zámkové dlažby tl. 80 mm. V položce jsou zakalkulovány i náklady na dodání hmot pro lože a na dodání materiálu na výplň spár. V položce nejsou zakalkulovány náklady na dodání zámkové dlažby, která se oceňuje ve specifikaci, ztratné se doporučuje ve výši 5%.</t>
  </si>
  <si>
    <t>28</t>
  </si>
  <si>
    <t>59248004</t>
  </si>
  <si>
    <t>Dlažba zámková H-profil 20/16/8 II tmavošedá</t>
  </si>
  <si>
    <t>M</t>
  </si>
  <si>
    <t>38-1,5-3</t>
  </si>
  <si>
    <t>7,5</t>
  </si>
  <si>
    <t>proužky pro oddělení park. stání</t>
  </si>
  <si>
    <t>;ztratné 5%; 2,05</t>
  </si>
  <si>
    <t>29</t>
  </si>
  <si>
    <t>59248000</t>
  </si>
  <si>
    <t>Dlažba zámková H-profil 20/16/8 II přírodní</t>
  </si>
  <si>
    <t>207-7,5</t>
  </si>
  <si>
    <t>;ztratné 5%; 9,975</t>
  </si>
  <si>
    <t>30</t>
  </si>
  <si>
    <t>592452650</t>
  </si>
  <si>
    <t>Dlažba betonová přírodní pro nevidomé 20x10x8</t>
  </si>
  <si>
    <t>1,5</t>
  </si>
  <si>
    <t>;ztratné 5%; 0,075</t>
  </si>
  <si>
    <t>Dlažba vibrolisovaná</t>
  </si>
  <si>
    <t>59248034</t>
  </si>
  <si>
    <t>Dlažba zámková 20/20/8 II tmavošedá</t>
  </si>
  <si>
    <t>;ztratné 5%; 0,15</t>
  </si>
  <si>
    <t>Betonová dlažba GRANIT je tvořena samostatnými kameny, které lze vzájemně kombinovat.  Dlažba GRANIT se dodává také s nesraženou hranou, reliéfní povrchovou úpravou, nebo s vodící linií. To vše v šesti základních barvách. Betonová dlažba GRANIT má díky svým funkčním vlastnostem a množství variant široké uplatnění – hodí se na chodníky, pěší zóny, promenády, ale také cyklostezky či příjezdové cesty.</t>
  </si>
  <si>
    <t>32</t>
  </si>
  <si>
    <t>596215048R00</t>
  </si>
  <si>
    <t>Příplatek za více barev dlažby tl. 8 cm, do drtě</t>
  </si>
  <si>
    <t>1,5+3</t>
  </si>
  <si>
    <t>V případě kladení více barev i více tvarů zámkové dlažby lze příplatky sčítat.</t>
  </si>
  <si>
    <t>33</t>
  </si>
  <si>
    <t>596215049R00</t>
  </si>
  <si>
    <t>Příplatek za více tvarů dlažby tl. 8 cm, do drtě</t>
  </si>
  <si>
    <t>34</t>
  </si>
  <si>
    <t>596291113R00</t>
  </si>
  <si>
    <t>Řezání zámkové dlažby tl. 80 mm</t>
  </si>
  <si>
    <t>50</t>
  </si>
  <si>
    <t>596215021R00</t>
  </si>
  <si>
    <t>Kladení zámkové dlažby tl. 6 cm do drtě tl. 4 cm</t>
  </si>
  <si>
    <t>152</t>
  </si>
  <si>
    <t>Od CÚ 2015/ II. není v jednotkové ceně započteno řezání dlaždic!!! Rozpočtuje se samostatnou položkou 596 29-1111.R00 Řezání zámkové dlažby tl. 60 mm. V položce jsou zakalkulovány i náklady na dodání hmot pro lože a na dodání materiálu na výplň spár. V položce nejsou zakalkulovány náklady na dodání zámkové dlažby, která se oceňuje ve specifikaci, ztratné se doporučuje ve výši 5%.</t>
  </si>
  <si>
    <t>36</t>
  </si>
  <si>
    <t>592452630</t>
  </si>
  <si>
    <t>Dlažba betonová přírodní 20x20x6</t>
  </si>
  <si>
    <t>152-1,8</t>
  </si>
  <si>
    <t>;ztratné 5%; 7,51</t>
  </si>
  <si>
    <t>- vysoce pevnostní vibrolisovaná dvouvrstvá betonová dlažba</t>
  </si>
  <si>
    <t>37</t>
  </si>
  <si>
    <t>59248057</t>
  </si>
  <si>
    <t>Dlažba betonová hmatová 20/10/6 barva tm. šedá</t>
  </si>
  <si>
    <t>1,8</t>
  </si>
  <si>
    <t>;ztratné 5%; 0,09</t>
  </si>
  <si>
    <t>596215028R00</t>
  </si>
  <si>
    <t>Příplatek za více barev dlažby tl. 6 cm, do drtě</t>
  </si>
  <si>
    <t>39</t>
  </si>
  <si>
    <t>596215029R00</t>
  </si>
  <si>
    <t>Příplatek za více tvarů dlažby tl. 6 cm, do drtě</t>
  </si>
  <si>
    <t>40</t>
  </si>
  <si>
    <t>596291111R00</t>
  </si>
  <si>
    <t>Řezání zámkové dlažby tl. 60 mm</t>
  </si>
  <si>
    <t>105</t>
  </si>
  <si>
    <t>41</t>
  </si>
  <si>
    <t>597072402R00</t>
  </si>
  <si>
    <t>Žlab odvodňovací DN 200,dl.1000 mm,C 250</t>
  </si>
  <si>
    <t>kus</t>
  </si>
  <si>
    <t>Položka je určena pro montáž a dodávku odvodňovacího žlabu z polymerického betonu DN200  s ochranou hranou z oceli včetně osazení do betonového lože C 20/25 a kotveních trnů. Žlab slouží k odvedení povrchové vody ze zpevněných ploch. Zatížení žlabu C 250. Stavební výška 200 mm, bez spádu dna, světlá šířka žlabu 200 mm, délka 1000 mm. Žlab je s předformovaným odtokem do dna DN 160.  Pro větší zatížení žlabu je třeba zvolit k položce příplatek 597 07 2494</t>
  </si>
  <si>
    <t>42</t>
  </si>
  <si>
    <t>597072494R00</t>
  </si>
  <si>
    <t>Příplatek ke žlabu DN 200 za únosnost lože D 400</t>
  </si>
  <si>
    <t>Příplatek je určen pro lože odvodňovacího žlabu z betonu C 25/30 se zatížením D 400 ( městské komunikace, zásobovací dvory, parkovací plochy, čerpací stanice). Kotvení žlabu kotevními trny 4 ks/m dl. 300 mm.  Pro položku 597 07-2402.</t>
  </si>
  <si>
    <t>43</t>
  </si>
  <si>
    <t>597072405R00</t>
  </si>
  <si>
    <t>Čelní stěna plná pro žlab DN200, výšky 200 mm</t>
  </si>
  <si>
    <t>Položka je určena pro osazení a dodávku čela s ocelovou-pozink. hranou. Čelo je určeno pro žlaby AC 2000 stavební výšky 200 mm</t>
  </si>
  <si>
    <t>44</t>
  </si>
  <si>
    <t>597072416RU1</t>
  </si>
  <si>
    <t>Krycí rošt DN200, zatížení D 400, dl. 500 mm</t>
  </si>
  <si>
    <t>rošt můstkový, litina, oka 18/198</t>
  </si>
  <si>
    <t>Položka je určena pro osazení a dodávku krycího roštu z pozinkované oceli. Zatížení D 400. Stavební délka 500 mm, světlá šířka 200 mm</t>
  </si>
  <si>
    <t>45</t>
  </si>
  <si>
    <t>597073304R00</t>
  </si>
  <si>
    <t>Žlabová vpusť DN200, dl.500 mm, C 250</t>
  </si>
  <si>
    <t>Položka je určena pro montáž a dodávku žlabové vpusti s nátrubkem DN 160 mm z polymerického betonu s integrovanou ochranou hran z litiny včetně osazení do betonového lože C 20/25. Zatížení vpusti C 250. délka 500 mm.  Pro větší zatížení vpusti je třeba zvolit k položce příplatek 597 07-3392 až -3396.</t>
  </si>
  <si>
    <t>83</t>
  </si>
  <si>
    <t>Potrubí z trub kameninových</t>
  </si>
  <si>
    <t>46</t>
  </si>
  <si>
    <t>831312121RT2</t>
  </si>
  <si>
    <t>Montáž trub kameninových, pryž. kroužek, DN 150</t>
  </si>
  <si>
    <t>83_</t>
  </si>
  <si>
    <t>8_</t>
  </si>
  <si>
    <t>včetně dodávky trub kamenin. DN 150 dl. 1000 mm</t>
  </si>
  <si>
    <t>Položka je určena pro montáž potrubí z trub kameninových těsněných pryžovým kroužkem v otevřeném výkopu ve sklonu do 20 %. V položce jsou zakalkulovány i náklady na dodání trub</t>
  </si>
  <si>
    <t>89</t>
  </si>
  <si>
    <t>Ostatní konstrukce a práce na trubním vedení</t>
  </si>
  <si>
    <t>47</t>
  </si>
  <si>
    <t>899331111R00</t>
  </si>
  <si>
    <t>Výšková úprava vstupu do 20 cm, zvýšení poklopu</t>
  </si>
  <si>
    <t>89_</t>
  </si>
  <si>
    <t>91</t>
  </si>
  <si>
    <t>Doplňující konstrukce a práce na pozemních komunikacích a zpevněných plochách</t>
  </si>
  <si>
    <t>48</t>
  </si>
  <si>
    <t>917862111R00</t>
  </si>
  <si>
    <t>Osazení stojat. obrub.bet. s opěrou,lože z C 16/20</t>
  </si>
  <si>
    <t>91_</t>
  </si>
  <si>
    <t>9_</t>
  </si>
  <si>
    <t>142+22+6+5+275</t>
  </si>
  <si>
    <t>17*1,9</t>
  </si>
  <si>
    <t>zábrany</t>
  </si>
  <si>
    <t>Osazení betonového silničního nebo chodníkového obrubníku</t>
  </si>
  <si>
    <t>49</t>
  </si>
  <si>
    <t>59217488</t>
  </si>
  <si>
    <t>Obrubník silniční ABO 2-15 1000/150/250</t>
  </si>
  <si>
    <t>142</t>
  </si>
  <si>
    <t>;ztratné 1%; 1,42</t>
  </si>
  <si>
    <t>59217420</t>
  </si>
  <si>
    <t>Obrubník chodníkový ABO 13-10 1000/100/200</t>
  </si>
  <si>
    <t>275</t>
  </si>
  <si>
    <t>;ztratné 1%; 2,75</t>
  </si>
  <si>
    <t>cena Pardubice  Impregnace Protect System I</t>
  </si>
  <si>
    <t>51</t>
  </si>
  <si>
    <t>59217476</t>
  </si>
  <si>
    <t>Obrubník silniční nájezdový 1000/150/150 šedý</t>
  </si>
  <si>
    <t>;ztratné 1%; 0,22</t>
  </si>
  <si>
    <t>52</t>
  </si>
  <si>
    <t>59217492</t>
  </si>
  <si>
    <t>Obrubník silniční přechodový levý ABO 2-15 PL</t>
  </si>
  <si>
    <t>53</t>
  </si>
  <si>
    <t>59217491</t>
  </si>
  <si>
    <t>Obrubník silniční přechodový pravý ABO 2-15 PP</t>
  </si>
  <si>
    <t>54</t>
  </si>
  <si>
    <t>59289018</t>
  </si>
  <si>
    <t>Zábrana pod kola ZPK 1900/23/23</t>
  </si>
  <si>
    <t>55</t>
  </si>
  <si>
    <t>919-01VD</t>
  </si>
  <si>
    <t>Drenážní geosyntetikum</t>
  </si>
  <si>
    <t>tloušťka rohože 10 mm</t>
  </si>
  <si>
    <t>0,5*45</t>
  </si>
  <si>
    <t>odvodnění nestm. vrstvy pod dlažbou</t>
  </si>
  <si>
    <t>Nařezání pásů rohože na potřebný tvar a položení.</t>
  </si>
  <si>
    <t>914001121R00</t>
  </si>
  <si>
    <t>Osaz.svislé dopr.značky a sloupku,Al patka, základ</t>
  </si>
  <si>
    <t>Výkop jamky s odhozem výkopku na vzdálenost do 3 m, betonový základ (s dodávkou betonu), dodávka a osazení kotevní hliníkové patky, osazení sloupku, dodávka a osazení víčka ke sloupku, osazení svislé dopravní značky plochy do 1 m2</t>
  </si>
  <si>
    <t>40450215</t>
  </si>
  <si>
    <t>Dopravní příslušenství, sloupek Zn 60-300</t>
  </si>
  <si>
    <t>Příslušenství dopravních značek  Sloupek Zn 60  pozinkovaná ocel. trubka pr. 60 délky od 200 do 600 mm, tl. 2,5 m</t>
  </si>
  <si>
    <t>58</t>
  </si>
  <si>
    <t>40445055.A</t>
  </si>
  <si>
    <t>Značka dopr inf IP 26a, b, 750/1000 fól1, EG 7letá</t>
  </si>
  <si>
    <t>IZ5a/b</t>
  </si>
  <si>
    <t>Typy a provedení dopravního značení jsou v souladu s příslušným zákonem a vyhláškou č. 30/2001 Sb. a jsou schváleny Ministerstvem dopravy a spojů k používání na pozemních komunikacích.  EG - Enginner Grade - reflexní fólie tř. 1 HlG  -  Hight Intensity Grade - reflexní fólie tř. 2 IP - Informativní dopravní značka provozní  štít z pozinkovaného plechu s dvojitým ohybem okraje po celém obvodu značky retroreflexní fólie  I. třídy 3M EG nebo podobná, záruka 7 let</t>
  </si>
  <si>
    <t>40445044.A</t>
  </si>
  <si>
    <t>Značka dopr inf IP 4b-7,10a,b 500/500 fól1,EG7letá</t>
  </si>
  <si>
    <t>60</t>
  </si>
  <si>
    <t>40445020.A</t>
  </si>
  <si>
    <t>Značka doprav zákazová B1-B34 500 fól 1, EG 7letá</t>
  </si>
  <si>
    <t>Typy a provedení dopravního značení jsou v souladu s příslušným zákonem a vyhláškou č. 30/2001 Sb. a jsou schváleny Ministerstvem dopravy a spojů k používání na pozemních komunikacích.  FeZn plech - prolis  EG - Enginner Grade - reflexní fólie tř. 1 HlG  -  Hight Intensity Grade - reflexní fólie tř. 2  štít z pozinkovaného plechu s dvojitým ohybem okraje po celém obvodu značky retroreflexní fólie  I. třídy 3M EG nebo podobná, záruka 7 let</t>
  </si>
  <si>
    <t>61</t>
  </si>
  <si>
    <t>40444934.A</t>
  </si>
  <si>
    <t>Značka dopr výstražná A1- A30 700 mm fól1, EG7letá</t>
  </si>
  <si>
    <t>Typy a provedení dopravního značení jsou v souladu s příslušným zákonem a vyhláškou č. 30/2001 Sb. a jsou schváleny Ministerstvem dopravy a spojů k používání na pozemních komunikacích.  FeZn plech - rám  EG - Enginner Grade - reflexní fólie tř. 1 HlG  -  Hight Intensity Grade - reflexní fólie tř. 2  štít z pozinkovaného plechu s dvojitým ohybem okraje po celém obvodu značky retroreflexní fólie  I. třídy 3M EG nebo podobná</t>
  </si>
  <si>
    <t>62</t>
  </si>
  <si>
    <t>40445052.A</t>
  </si>
  <si>
    <t>Značka dopr inf IP14a-25b, 1000/1500 fól1, EG7letá</t>
  </si>
  <si>
    <t>63</t>
  </si>
  <si>
    <t>914001122R00</t>
  </si>
  <si>
    <t>Osaz.2 sloupků dopr.značky vč. bet.zákl.+Al patka</t>
  </si>
  <si>
    <t>V položce započteno: výkop jamek s odhozem výkopku na vzdálenost do 3 m, monolitický betonový základ s dodávkou a osazením dvou kotevních hliníkových patek, osazení sloupků, dodávka a osazení víček ke sloupkům</t>
  </si>
  <si>
    <t>64</t>
  </si>
  <si>
    <t>914001125R00</t>
  </si>
  <si>
    <t>Osazení svislé dopr.značky na sloupek nebo konzolu</t>
  </si>
  <si>
    <t>Včetně dodávky upevňovadel</t>
  </si>
  <si>
    <t>97</t>
  </si>
  <si>
    <t>Prorážení otvorů a ostatní bourací práce</t>
  </si>
  <si>
    <t>65</t>
  </si>
  <si>
    <t>979094441R00</t>
  </si>
  <si>
    <t>Očištění vybour. panelů s výplní kamen. těženým</t>
  </si>
  <si>
    <t>97_</t>
  </si>
  <si>
    <t>4+7,2</t>
  </si>
  <si>
    <t>pro zpětné použití</t>
  </si>
  <si>
    <t>S</t>
  </si>
  <si>
    <t>Přesuny sutí</t>
  </si>
  <si>
    <t>66</t>
  </si>
  <si>
    <t>979083114R00</t>
  </si>
  <si>
    <t>Vodorovné přemístění suti na skládku do 3000 m</t>
  </si>
  <si>
    <t>S_</t>
  </si>
  <si>
    <t>Pro volbu položky je rozhodující dopravní vzdálenost těžiště skládky a půdorysné plochy objektu. V položce jsou zakalkulovány i náklady na naložení suti na dopravní prostředek a složení</t>
  </si>
  <si>
    <t>67</t>
  </si>
  <si>
    <t>979084215R00</t>
  </si>
  <si>
    <t>Vodorovná doprava vybour. hmot po suchu do 3 km</t>
  </si>
  <si>
    <t>68</t>
  </si>
  <si>
    <t>979-01VD</t>
  </si>
  <si>
    <t>Poplatek za uložení suti - obal. kamenivo, asfalt, skupina odpadu 170302</t>
  </si>
  <si>
    <t>69</t>
  </si>
  <si>
    <t>979-02VD</t>
  </si>
  <si>
    <t>Poplatek za skládku zemina a kamení (skup.170504)</t>
  </si>
  <si>
    <t>70</t>
  </si>
  <si>
    <t>979-03VD</t>
  </si>
  <si>
    <t>Poplatek za skládku beton (skup.170101)</t>
  </si>
  <si>
    <t>71</t>
  </si>
  <si>
    <t>998225111R00</t>
  </si>
  <si>
    <t>Přesun hmot, pozemní komunikace, kryt živičný</t>
  </si>
  <si>
    <t>Celkem:</t>
  </si>
  <si>
    <t>Poznámka:</t>
  </si>
  <si>
    <t>TDI UL. K JEZERŮM - VÝMLATIŠTĚ, SO 101.1.A.2 - Stanoviště pro komunální odpad, zpevněné plochy, pražcový chodník  - úsek "A"</t>
  </si>
  <si>
    <t>285*0,3</t>
  </si>
  <si>
    <t>122201101R00</t>
  </si>
  <si>
    <t>Odkopávky nezapažené v hor. 3 do 100 m3</t>
  </si>
  <si>
    <t>50/2</t>
  </si>
  <si>
    <t>122301101R00</t>
  </si>
  <si>
    <t>Odkopávky nezapažené v hor. 4 do 100 m3</t>
  </si>
  <si>
    <t>11+65</t>
  </si>
  <si>
    <t>50*1,6</t>
  </si>
  <si>
    <t>85,5*1,6</t>
  </si>
  <si>
    <t>564113520R00</t>
  </si>
  <si>
    <t>Podklad z asf.recyklátu fr. 0-32 po zhutn.tl.20 cm</t>
  </si>
  <si>
    <t>ŠD-R</t>
  </si>
  <si>
    <t>Podklad z asfaltového recyklátu frakce 0-32 mm tl. 20 cm po zhutnění. Objemová hmotnost asfaltového recyklátu 2 t/m3 po zhutnění</t>
  </si>
  <si>
    <t>564831111RT2</t>
  </si>
  <si>
    <t>Podklad ze štěrkodrti po zhutnění tloušťky 10 cm</t>
  </si>
  <si>
    <t>579-01VD</t>
  </si>
  <si>
    <t>Mechanicky zpevněné kamenivo z asfalt.recyklátu po zhutnění 150 cm</t>
  </si>
  <si>
    <t>S rozprostřením a zhutněním</t>
  </si>
  <si>
    <t>917712111R00</t>
  </si>
  <si>
    <t>Osazení ležat. obrub. bet. bez opěr, lože z kamen.</t>
  </si>
  <si>
    <t>143</t>
  </si>
  <si>
    <t>59217421</t>
  </si>
  <si>
    <t>Obrubník chodníkový ABO 14-10 1000/100/250</t>
  </si>
  <si>
    <t>;ztratné 5%; 7,15</t>
  </si>
  <si>
    <t>H22</t>
  </si>
  <si>
    <t>Komunikace pozemní a letiště</t>
  </si>
  <si>
    <t>998223011R00</t>
  </si>
  <si>
    <t>Přesun hmot, pozemní komunikace, kryt dlážděný</t>
  </si>
  <si>
    <t>H22_</t>
  </si>
  <si>
    <t>TDI UL. K JEZERŮM - VÝMLATIŠTĚ, SO 102.B - Komunikace, chodníky, zpevněné plochy, parkoviště -  úsek "B"</t>
  </si>
  <si>
    <t>990</t>
  </si>
  <si>
    <t>113108410R00</t>
  </si>
  <si>
    <t>Odstranění asfaltové vrstvy pl.nad 50 m2, tl.10 cm</t>
  </si>
  <si>
    <t>Položka není určena pro odstranění podkladu nebo krytu frézováním. Pro volbu položky z hlediska množství se uvažuje každá souvisle odstraňovaná plocha krytu nebo podkladu stejného druhu samostatně.Odstraňuje-li se několik vrstev vozovky najednou, jednotlivé vrstvy se oceňují každá samostatně</t>
  </si>
  <si>
    <t>113111120R00</t>
  </si>
  <si>
    <t>Odstranění podkladu pl.50 m2,kam.zpev.cem.tl.20 cm</t>
  </si>
  <si>
    <t>Pro volbu položky z hlediska množství se uvažuje každá souvisle odstraňovaná plocha krytu nebo podkladu stejného druhu samostatně.Odstraňuje-li se několik vrstev vozovky najednou, jednotlivé vrstvy se oceňují každá samostatně</t>
  </si>
  <si>
    <t>113151114R00</t>
  </si>
  <si>
    <t>Fréz.živič.krytu pl.do 500 m2,pruh do 75 cm,tl.5cm</t>
  </si>
  <si>
    <t>113108406R00</t>
  </si>
  <si>
    <t>Odstranění asfaltové vrstvy pl.nad 50 m2, tl. 6 cm</t>
  </si>
  <si>
    <t>113108405R00</t>
  </si>
  <si>
    <t>Odstranění asfaltové vrstvy pl.nad 50 m2, tl. 5 cm</t>
  </si>
  <si>
    <t>113107515R00</t>
  </si>
  <si>
    <t>Odstranění podkladu pl. 50 m2,kam.drcené tl.15 cm</t>
  </si>
  <si>
    <t>761*0,4+2330*0,3</t>
  </si>
  <si>
    <t>810</t>
  </si>
  <si>
    <t>123202101R00</t>
  </si>
  <si>
    <t>Vykopávky zářezů v hor.3 do 1000 m3</t>
  </si>
  <si>
    <t>pro drenáž</t>
  </si>
  <si>
    <t>Položka se používá pro zážezy s jakýmkoliv sklonem stěny v zářezu.</t>
  </si>
  <si>
    <t>1003,4</t>
  </si>
  <si>
    <t>646</t>
  </si>
  <si>
    <t>168</t>
  </si>
  <si>
    <t>1700+370+60+473+48,5</t>
  </si>
  <si>
    <t>1003,4*1,6</t>
  </si>
  <si>
    <t>Úprava podloží a základové spáry</t>
  </si>
  <si>
    <t>212753114R00</t>
  </si>
  <si>
    <t>Montáž ohebné dren. trubky do rýhy DN 100,bez lože</t>
  </si>
  <si>
    <t>21_</t>
  </si>
  <si>
    <t>2_</t>
  </si>
  <si>
    <t>212561111R00</t>
  </si>
  <si>
    <t>Výplň odvodňov. trativodů kam. hrubě drcen. 16 mm</t>
  </si>
  <si>
    <t>3,5</t>
  </si>
  <si>
    <t>28611223.A</t>
  </si>
  <si>
    <t>Trubka PVC drenážní flexibilní d 100 mm</t>
  </si>
  <si>
    <t>;ztratné 1%; 0,43</t>
  </si>
  <si>
    <t>objednací číslo: DXZ10</t>
  </si>
  <si>
    <t>1700+370+60+48,5</t>
  </si>
  <si>
    <t>370+60</t>
  </si>
  <si>
    <t>1700</t>
  </si>
  <si>
    <t>48,5+14</t>
  </si>
  <si>
    <t>473</t>
  </si>
  <si>
    <t>564851114RT2</t>
  </si>
  <si>
    <t>Podklad ze štěrkodrti po zhutnění tloušťky 18 cm</t>
  </si>
  <si>
    <t>347+48,5+14</t>
  </si>
  <si>
    <t>567132115R00</t>
  </si>
  <si>
    <t>Podklad z kameniva zpev.cementem SC C8/10 tl.20 cm</t>
  </si>
  <si>
    <t>1523</t>
  </si>
  <si>
    <t>565131111RT3</t>
  </si>
  <si>
    <t>Podklad z obal kamen. ACP 16+, š. do 3 m, tl. 5 cm</t>
  </si>
  <si>
    <t>plochy 101-200 m2</t>
  </si>
  <si>
    <t>1523*2+52*3</t>
  </si>
  <si>
    <t>577112114RT3</t>
  </si>
  <si>
    <t>Beton asfalt. ACO 11 S modifik. š. do 3 m, tl.5 cm</t>
  </si>
  <si>
    <t>577114115RT3</t>
  </si>
  <si>
    <t>Beton asf.ACL 16 S,modif.ložný š. do 3 m, tl. 6 cm</t>
  </si>
  <si>
    <t>60+347+14+48,5</t>
  </si>
  <si>
    <t>;ztratné 5%; 3,55</t>
  </si>
  <si>
    <t>347-11+48,5</t>
  </si>
  <si>
    <t>;ztratné 5%; 19,225</t>
  </si>
  <si>
    <t>592452620</t>
  </si>
  <si>
    <t>Dlažba betonová přírodní 20x20x8</t>
  </si>
  <si>
    <t>9,5</t>
  </si>
  <si>
    <t>;ztratné 5%; 0,475</t>
  </si>
  <si>
    <t>59245264</t>
  </si>
  <si>
    <t>Dlažba betonová pro nevidomé 20x10x8</t>
  </si>
  <si>
    <t>4,5</t>
  </si>
  <si>
    <t>;ztratné 5%; 0,225</t>
  </si>
  <si>
    <t>Dlažba vibrolisovaná, barva tmavě šedá</t>
  </si>
  <si>
    <t>11+4,5</t>
  </si>
  <si>
    <t>140</t>
  </si>
  <si>
    <t>473-12</t>
  </si>
  <si>
    <t>;ztratné 5%; 23,05</t>
  </si>
  <si>
    <t>;ztratné 5%; 0,6</t>
  </si>
  <si>
    <t>220</t>
  </si>
  <si>
    <t>895941311R00</t>
  </si>
  <si>
    <t>Zřízení vpusti uliční z dílců typ UVB - 50</t>
  </si>
  <si>
    <t>Položka je určena pro zřízení vpusti kanalizační uliční z betonových dílců. V položce jsou započteny i náklady na zřízení loiže ze štěrkopísku. V položce nejsou započteny náklady na: a) dodání betonových dílců; betonové dílce se oceňují ve specifikaci, ztratné se doporučuje ve výši 1 % b) litinové mříže; osazení mříží se oceňuje cenami souboru 89920 Osazení mříží litinových části A 01 tohoto sborníku; dodání mříží se oceňuje ve specifikaci, ztratné se nestanoví c) podkladní prstence; podkladní prstence se oceňují položkami souboru 45238 Podkladní a vyrovnávací konstrukce části A 01 tohoto sborníku.</t>
  </si>
  <si>
    <t>592238743</t>
  </si>
  <si>
    <t>TBV-Q 50/59 SO skruž dešťové vpusti DN 500</t>
  </si>
  <si>
    <t>592238741</t>
  </si>
  <si>
    <t>TBV-Q 50/29 SN skruž dešťové vpusti DN 500</t>
  </si>
  <si>
    <t>592238740</t>
  </si>
  <si>
    <t>TBV-Q 50/20 CP horní dílec dešťové vpusti DN 500</t>
  </si>
  <si>
    <t>592239030</t>
  </si>
  <si>
    <t>TBV 10a vyrovnávací prstenec 625/390/60</t>
  </si>
  <si>
    <t>592238751</t>
  </si>
  <si>
    <t>899203111R00</t>
  </si>
  <si>
    <t>Osazení mříží litinových s rámem do 150kg</t>
  </si>
  <si>
    <t>Položka je určena pro osazení mříží litinových včetně rámů a košů na bahno. V položkách nejsou zakalkulovány náklady na dodání mříží, rámů a košů na bahno; Tyto náklady se oceňují ve specifikaci. Ztratné se nestanoví. V položce jsou zakalkulovány i náklady na cementovou maltu</t>
  </si>
  <si>
    <t>286-01VD</t>
  </si>
  <si>
    <t>Mříž vtoková plastová 500/500 mm D 40 t, litinový rám</t>
  </si>
  <si>
    <t>427+110+8+8+410</t>
  </si>
  <si>
    <t>427</t>
  </si>
  <si>
    <t>;ztratné 1%; 4,27</t>
  </si>
  <si>
    <t>410</t>
  </si>
  <si>
    <t>;ztratné 1%; 4,1</t>
  </si>
  <si>
    <t>110</t>
  </si>
  <si>
    <t>;ztratné 1%; 1,1</t>
  </si>
  <si>
    <t>0,5*76</t>
  </si>
  <si>
    <t>915721111RT1</t>
  </si>
  <si>
    <t>Vodorovné značení střík.barvou stopčar,zeber atd.</t>
  </si>
  <si>
    <t>barva bílá</t>
  </si>
  <si>
    <t>symbol 225 na parkovišti</t>
  </si>
  <si>
    <t>40445050.A</t>
  </si>
  <si>
    <t>Značka dopr inf IP 11-13 500/700 fól1, EG7letá</t>
  </si>
  <si>
    <t>40445157.A</t>
  </si>
  <si>
    <t>Značka dopr dodat E 13 500/150 fól 1, EG 7letá</t>
  </si>
  <si>
    <t>Typy a provedení dopravního značení jsou v souladu s příslušným zákonem a vyhláškou č. 30/2001 Sb. a jsou schváleny Ministerstvem dopravy a spojů k používání na pozemních komunikacích.  E - Dopravní značka - dodatková tabulka EG - Enginner Grade - reflexní fólie tř. 1  štít z pozinkovaného plechu s dvojitým ohybem okraje po celém obvodu značky retroreflexní fólie  I. třídy 3M EG nebo podobná, záruka 7 let</t>
  </si>
  <si>
    <t>4+4*2</t>
  </si>
  <si>
    <t>IZ8</t>
  </si>
  <si>
    <t>72</t>
  </si>
  <si>
    <t>40445214</t>
  </si>
  <si>
    <t>Značka dopr.upr.přednost P4 700 mm, pozink.tř.1</t>
  </si>
  <si>
    <t>opakuje nebo zdůrazňuje povinnost dát přednost v jízdě</t>
  </si>
  <si>
    <t>73</t>
  </si>
  <si>
    <t>74</t>
  </si>
  <si>
    <t>75</t>
  </si>
  <si>
    <t>76</t>
  </si>
  <si>
    <t>914-01VD</t>
  </si>
  <si>
    <t>Osazení svislé dopr.značky na fasádu</t>
  </si>
  <si>
    <t>77</t>
  </si>
  <si>
    <t>919735111R00</t>
  </si>
  <si>
    <t>Řezání stávajícího živičného krytu tl. do 5 cm</t>
  </si>
  <si>
    <t>V položce jsou zakalkulovány i náklady na spotřebu vody</t>
  </si>
  <si>
    <t>78</t>
  </si>
  <si>
    <t>919-02VD</t>
  </si>
  <si>
    <t>Zalití spáry za tepla asfaltovou modifikovanou zálivkou</t>
  </si>
  <si>
    <t>79</t>
  </si>
  <si>
    <t>80</t>
  </si>
  <si>
    <t>81</t>
  </si>
  <si>
    <t>82</t>
  </si>
  <si>
    <t>84</t>
  </si>
  <si>
    <t>TDI UL. K JEZERŮM - VÝMLATIŠTĚ, SO 102.1.B - Chodníky, zpevněné plochy -  úsek "B"</t>
  </si>
  <si>
    <t>86*0,3</t>
  </si>
  <si>
    <t>25,8</t>
  </si>
  <si>
    <t>86</t>
  </si>
  <si>
    <t>25,8*1,6</t>
  </si>
  <si>
    <t>17,5</t>
  </si>
  <si>
    <t>68,5</t>
  </si>
  <si>
    <t>;ztratné 5%; 3,425</t>
  </si>
  <si>
    <t>31,5</t>
  </si>
  <si>
    <t>;ztratné 1%; 0,315</t>
  </si>
  <si>
    <t>TDI UL. K JEZERŮM - VÝMLATIŠTĚ, SO 103.C - Komunikace, chodníky, zpevněné plochy, parkoviště -  úsek "C"</t>
  </si>
  <si>
    <t>2102*0,3</t>
  </si>
  <si>
    <t>490</t>
  </si>
  <si>
    <t>630,6</t>
  </si>
  <si>
    <t>490+14-60-85</t>
  </si>
  <si>
    <t>85</t>
  </si>
  <si>
    <t>1020+103+326+27,5</t>
  </si>
  <si>
    <t>630,6*1,6</t>
  </si>
  <si>
    <t>359*1,6</t>
  </si>
  <si>
    <t>149</t>
  </si>
  <si>
    <t>;ztratné 1%; 1,49</t>
  </si>
  <si>
    <t>1020+103+27,5</t>
  </si>
  <si>
    <t>1020+27,5</t>
  </si>
  <si>
    <t>564861111RT2</t>
  </si>
  <si>
    <t>Podklad ze štěrkodrti po zhutnění tloušťky 20 cm</t>
  </si>
  <si>
    <t>103</t>
  </si>
  <si>
    <t>326</t>
  </si>
  <si>
    <t>27,5</t>
  </si>
  <si>
    <t>93+4,5</t>
  </si>
  <si>
    <t>937</t>
  </si>
  <si>
    <t>tloušťka vrstvy 180-220 mm</t>
  </si>
  <si>
    <t>937*2</t>
  </si>
  <si>
    <t>93+27,5+4,5</t>
  </si>
  <si>
    <t>27,5+4</t>
  </si>
  <si>
    <t>;ztratné 5%; 1,575</t>
  </si>
  <si>
    <t>93-4</t>
  </si>
  <si>
    <t>;ztratné 5%; 4,45</t>
  </si>
  <si>
    <t>326-4,7</t>
  </si>
  <si>
    <t>;ztratné 5%; 16,065</t>
  </si>
  <si>
    <t>4,7</t>
  </si>
  <si>
    <t>;ztratné 5%; 0,235</t>
  </si>
  <si>
    <t>200</t>
  </si>
  <si>
    <t>389+63+296+6+5+4,2</t>
  </si>
  <si>
    <t>389</t>
  </si>
  <si>
    <t>;ztratné 1%; 3,89</t>
  </si>
  <si>
    <t>296</t>
  </si>
  <si>
    <t>;ztratné 1%; 2,96</t>
  </si>
  <si>
    <t>;ztratné 1%; 0,63</t>
  </si>
  <si>
    <t>59217100</t>
  </si>
  <si>
    <t>Obrubník přímý 300/195/600 mm</t>
  </si>
  <si>
    <t>Obrubníky KO jsou určeny pro tvorbu obrub kruhových objezdů, silničních ostrůvků a rozdělovacích ostrůvků na komunikacích. Vedle vysoké estetické a funkční hodnoty výrazně přispívají k bezpečnosti silničního provozu svým nekonfl iktním tvarem. Prvek oproti klasickým silničním obrubníkům vyniká vysokou odolností vůči agresivnímu slanému prostředí</t>
  </si>
  <si>
    <t>0,5*48</t>
  </si>
  <si>
    <t>915721111RT2</t>
  </si>
  <si>
    <t>barva žlutá</t>
  </si>
  <si>
    <t>V12a</t>
  </si>
  <si>
    <t>40445045.A</t>
  </si>
  <si>
    <t>Značka dopr inf IP 4b-7,10a,b 500/500 fól1,HIG10</t>
  </si>
  <si>
    <t>Typy a provedení dopravního značení jsou v souladu s příslušným zákonem a vyhláškou č. 30/2001 Sb. a jsou schváleny Ministerstvem dopravy a spojů k používání na pozemních komunikacích.  EG - Enginner Grade - reflexní fólie tř. 1 HlG  -  Hight Intensity Grade - reflexní fólie tř. 2 IP - Informativní dopravní značka provozní  štít z pozinkovaného plechu s dvojitým ohybem okraje po celém obvodu značky retroreflexní fólie  II. třídy 3M EG nebo podobná, záruka 10 let</t>
  </si>
  <si>
    <t>TDI UL. K JEZERŮM - VÝMLATIŠTĚ, SO 103.1.C - Stanoviště pro separovaný odpad, zpevněné plochy - úsek "C"</t>
  </si>
  <si>
    <t>35*0,3</t>
  </si>
  <si>
    <t>10,5</t>
  </si>
  <si>
    <t>10+33</t>
  </si>
  <si>
    <t>10,5*1,6</t>
  </si>
  <si>
    <t>32*1,6</t>
  </si>
  <si>
    <t>;ztratné 5%; 2,15</t>
  </si>
  <si>
    <t>;ztratné 1%; 0,38</t>
  </si>
  <si>
    <t>TDI UL. K JEZERŮM - VÝMLATIŠTĚ, SO 104.D - Úprava autobusové zastávky -  úsek "D"</t>
  </si>
  <si>
    <t>155</t>
  </si>
  <si>
    <t>115</t>
  </si>
  <si>
    <t>113111220R00</t>
  </si>
  <si>
    <t>Odstranění podkl.pl.nad 50 m2,kam.zpev.cem.tl.20cm</t>
  </si>
  <si>
    <t>95+36</t>
  </si>
  <si>
    <t>113107620R00</t>
  </si>
  <si>
    <t>Odstranění podkladu nad 50 m2,kam.drcené tl.20 cm</t>
  </si>
  <si>
    <t>86+36</t>
  </si>
  <si>
    <t>113106221R00</t>
  </si>
  <si>
    <t>Rozebrání dlažeb z drobných kostek v kam. těženém</t>
  </si>
  <si>
    <t>30*0,3</t>
  </si>
  <si>
    <t>přídlažba</t>
  </si>
  <si>
    <t>150</t>
  </si>
  <si>
    <t>chodník</t>
  </si>
  <si>
    <t>113107615R00</t>
  </si>
  <si>
    <t>Odstranění podkladu nad 50 m2,kam.drcené tl.15 cm</t>
  </si>
  <si>
    <t>130</t>
  </si>
  <si>
    <t>113-01VD</t>
  </si>
  <si>
    <t>očištění frézovaného povrchu</t>
  </si>
  <si>
    <t>37,5</t>
  </si>
  <si>
    <t>113-02VD</t>
  </si>
  <si>
    <t>Očištění vybour. dlažby</t>
  </si>
  <si>
    <t>0,3*13</t>
  </si>
  <si>
    <t>105*0,3+202*0,4</t>
  </si>
  <si>
    <t>112,3</t>
  </si>
  <si>
    <t>užití zeminy z SO101</t>
  </si>
  <si>
    <t>340</t>
  </si>
  <si>
    <t>112,3*1,6</t>
  </si>
  <si>
    <t>;ztratné 1%; 0,51</t>
  </si>
  <si>
    <t>211-01VD</t>
  </si>
  <si>
    <t>Drenážní žebro 100x300 mm, prořezání betonové vrstvy, výplň kamenivem, geotextilie</t>
  </si>
  <si>
    <t>107+20</t>
  </si>
  <si>
    <t>107</t>
  </si>
  <si>
    <t>157+20</t>
  </si>
  <si>
    <t>88</t>
  </si>
  <si>
    <t>25+25+30+35,5+37,5</t>
  </si>
  <si>
    <t>37,5+35,5</t>
  </si>
  <si>
    <t>Kryty pozemních komunikací, letišť a ploch z betonu a ostatních hmot</t>
  </si>
  <si>
    <t>581142112R00</t>
  </si>
  <si>
    <t>Kryt cementobeton. komunikací skup.1 a 2 tl. 22 cm</t>
  </si>
  <si>
    <t>58_</t>
  </si>
  <si>
    <t>581-001 VD</t>
  </si>
  <si>
    <t>Výztuž - příplatek za drátkobeton</t>
  </si>
  <si>
    <t>88*0,22</t>
  </si>
  <si>
    <t>596245041R00</t>
  </si>
  <si>
    <t>Kladení zámkové dlažby tl. 8 cm do betonu tl. 10 cm</t>
  </si>
  <si>
    <t>užití původní dlažby</t>
  </si>
  <si>
    <t>157</t>
  </si>
  <si>
    <t>59245040</t>
  </si>
  <si>
    <t>Dlažba zámková SLP s vodicí linií přírodní 20/20/6</t>
  </si>
  <si>
    <t>;ztratné 1%; 0,035</t>
  </si>
  <si>
    <t>59245268</t>
  </si>
  <si>
    <t>Dlažba betonová barevná  20x10x6</t>
  </si>
  <si>
    <t>5,5</t>
  </si>
  <si>
    <t>;ztratné 5%; 0,275</t>
  </si>
  <si>
    <t>Dlažba vibrolisovaná, standardní povrch, barva červená, hnědá, pískovcová, antracit, karamel</t>
  </si>
  <si>
    <t>59245267</t>
  </si>
  <si>
    <t>Dlažba betonová tm. šedá pro nevidomé 20x10x6</t>
  </si>
  <si>
    <t>Dlažba vibrolisovaná, barva antracit</t>
  </si>
  <si>
    <t>Dlažba přírodní 20x20x6</t>
  </si>
  <si>
    <t>157-9,5-5,5-3,5</t>
  </si>
  <si>
    <t>;ztratné 5%; 6,925</t>
  </si>
  <si>
    <t>- vysoce pevnostní vibrolisovaná dvouvrstvá betonová dlažba, standartní povrch</t>
  </si>
  <si>
    <t>5,5+9,5</t>
  </si>
  <si>
    <t>95</t>
  </si>
  <si>
    <t>597121111T00</t>
  </si>
  <si>
    <t>Montáž odvodňovacích štěrbinových trub (žlabů)</t>
  </si>
  <si>
    <t>16+22</t>
  </si>
  <si>
    <t>Položka obsahuje zřízení podkladního betonu tl. 100 mm, položení lože ze suchého betonu tl. 30 mm a montáž trub. V položce nejsou zakalkulovány náklady na dodání trub. Dodávka se oceňuje ve specifikaci. Ztratné se nedoporučuje. Položka neobsahuje náklady na zálivku dilatační spáry se sousední konstrukcí. Pro trouby do 450 mm šířky</t>
  </si>
  <si>
    <t>592-02VD</t>
  </si>
  <si>
    <t>Trouba štěrbinová DN200 dl. 4 m s vnitřním spádem, přerušovaná štěrbina</t>
  </si>
  <si>
    <t>592-06VD</t>
  </si>
  <si>
    <t>Trouba štěrbinová DN200 dl. 1 m bez spádu, přerušovaná štěrbina</t>
  </si>
  <si>
    <t>597121151R00</t>
  </si>
  <si>
    <t>Montáž odvodňov. štěrbinových trub (žlabů) - vpusť</t>
  </si>
  <si>
    <t>Položka obsahuje zřízení podkladního betonu tl. 100 mm, položení lože ze suchého betonu tl. 30 mm a montáž vpusťového kusu. V položce nejsou zakalkulovány náklady na dodání tvarovek. Dodávka se oceňuje ve specifikaci.  Položka neobsahuje náklady na zálivku dilatační spáry se sousední konstrukcí. Pro trouby do 450 mm šířky</t>
  </si>
  <si>
    <t>592-03VD</t>
  </si>
  <si>
    <t>Vpusťový kus štěrbinového žlabu DN200, plastový rošt</t>
  </si>
  <si>
    <t>592-07</t>
  </si>
  <si>
    <t>Konus vpusti - přechodový kus</t>
  </si>
  <si>
    <t>59223862</t>
  </si>
  <si>
    <t>TBV-Q 450/295/6a skruž středová</t>
  </si>
  <si>
    <t>Dešťové uliční vpusti - betonové dílce (dle ČSN EN 1917</t>
  </si>
  <si>
    <t>59223850</t>
  </si>
  <si>
    <t>TBV-Q 450/330/1a dno s výtokem DN 150</t>
  </si>
  <si>
    <t>597121161R00</t>
  </si>
  <si>
    <t>Montáž odvodňov.štěrbin.trub (žlabů) - čisticí kus</t>
  </si>
  <si>
    <t>Položka obsahuje zřízení podkladního betonu tl. 100 mm, položení lože ze suchého betonu tl. 30 mm a montáž tvarovky. V položce nejsou zakalkulovány náklady na dodání tvarovek. Dodávka se oceňuje ve specifikaci.  Položka neobsahuje náklady na zálivku dilatační spáry se sousední konstrukcí. Pro trouby do 450 mm šířky</t>
  </si>
  <si>
    <t>592-04VD</t>
  </si>
  <si>
    <t>Čistící kus štěrbinového žlabu DN200, plastový rošt</t>
  </si>
  <si>
    <t>597121191R00</t>
  </si>
  <si>
    <t>Montáž odvod. štěrbinových trub (žlabů) - záslepka</t>
  </si>
  <si>
    <t>V položce nejsou zakalkulovány náklady na dodání tvarovky. Dodávka se oceňuje ve specifikaci.</t>
  </si>
  <si>
    <t>592-05VD</t>
  </si>
  <si>
    <t>Záslepka štěrbinového žlabu DN200</t>
  </si>
  <si>
    <t>597-01VD</t>
  </si>
  <si>
    <t>Dilatace žlabu, těsnění + zálivka za horka</t>
  </si>
  <si>
    <t>18+25</t>
  </si>
  <si>
    <t>837-01VD</t>
  </si>
  <si>
    <t>Montáž kameninových útesů s hrdlem DN 150, navrtávka</t>
  </si>
  <si>
    <t>33+55,5+7+2+2+74,5+18+2</t>
  </si>
  <si>
    <t>;ztratné 1%; 0,33</t>
  </si>
  <si>
    <t>74,5</t>
  </si>
  <si>
    <t>;ztratné 1%; 0,745</t>
  </si>
  <si>
    <t>;ztratné 1%; 0,07</t>
  </si>
  <si>
    <t>59217487</t>
  </si>
  <si>
    <t>Obrubník silniční ABO 1-15 1000/150/300</t>
  </si>
  <si>
    <t>55,5</t>
  </si>
  <si>
    <t>;ztratné 1%; 0,555</t>
  </si>
  <si>
    <t>59217129</t>
  </si>
  <si>
    <t>Obrubník zastávkový náběhový pravý 400/290-250/1003</t>
  </si>
  <si>
    <t>RTS I / 2018</t>
  </si>
  <si>
    <t>BEZBARIÉROVÉ OBRUBNÍKY K ZASTÁVKÁM A NÁSTUPIŠTÍM MHD  Bezbariérové obrubníky jsou technicky výjimečným řešením autobusových zastávek.  Jedná se o systém metrových prefabrikovaných prvků sestavených do příslušné skladby tak, aby bylo zajištěno především bezpečné, plynulé a rychlejší odbavení cestujících oproti klasickým typům zastávek.  Samozřejmostí je zajištění bezbariérového přístupu do vozu pro občany se sníženou schopností pohybu.  Prvek vyniká vysokou odolností vůči agresivnímu slanému prostředí.</t>
  </si>
  <si>
    <t>59217130</t>
  </si>
  <si>
    <t>Obrubník zastávkový náběhový levý 400/290-250/1003</t>
  </si>
  <si>
    <t>59217128</t>
  </si>
  <si>
    <t>Obrubník zastávkový přímý 400/290/1003</t>
  </si>
  <si>
    <t>;ztratné 1%; 0,2</t>
  </si>
  <si>
    <t>915711112RU1</t>
  </si>
  <si>
    <t>Vodorovné značení dělicích čar š.12 cm silnovrstvé</t>
  </si>
  <si>
    <t>121</t>
  </si>
  <si>
    <t>BUS plocha</t>
  </si>
  <si>
    <t>šikmé čáry</t>
  </si>
  <si>
    <t>nápisy</t>
  </si>
  <si>
    <t>přechod</t>
  </si>
  <si>
    <t>87</t>
  </si>
  <si>
    <t>40445212</t>
  </si>
  <si>
    <t>Značka dopr.upr.přednost P2 500x500mm, pozink.tř.1</t>
  </si>
  <si>
    <t>90</t>
  </si>
  <si>
    <t>40445029.A</t>
  </si>
  <si>
    <t>Značka dopr příkazová C1-C14b 500 fól 1, EG 7letá</t>
  </si>
  <si>
    <t>Typy a provedení dopravního značení jsou v souladu s příslušným zákonem a vyhláškou č. 30/2001 Sb. a jsou schváleny Ministerstvem dopravy a spojů k používání na pozemních komunikacích.  EG - Enginner Grade - reflexní fólie tř. 1 HlG  -  Hight Intensity Grade - reflexní fólie tř. 2  štít z pozinkovaného plechu s dvojitým ohybem okraje po celém obvodu značky retroreflexní fólie  I. třídy 3M EG nebo podobná, záruka 7 let</t>
  </si>
  <si>
    <t>92</t>
  </si>
  <si>
    <t>919-03VD</t>
  </si>
  <si>
    <t>93</t>
  </si>
  <si>
    <t>919-04VD</t>
  </si>
  <si>
    <t>infiltrační vrstva - nepropustná dvouvrstvá folie</t>
  </si>
  <si>
    <t>94</t>
  </si>
  <si>
    <t>919716111R00</t>
  </si>
  <si>
    <t>Výztuž cementobet. krytu sítí KARI 5,4 kg/m2</t>
  </si>
  <si>
    <t>88*0,0054</t>
  </si>
  <si>
    <t>919722111R00</t>
  </si>
  <si>
    <t>Dilatační spáry - řezání, spáry příčné š. 2 - 5 mm</t>
  </si>
  <si>
    <t>96</t>
  </si>
  <si>
    <t>919722212R00</t>
  </si>
  <si>
    <t>Dilatační spáry řezané příčné 9 mm,zalití za tepla</t>
  </si>
  <si>
    <t>919741111R00</t>
  </si>
  <si>
    <t>Ošetření cementobetonové plochy vodou</t>
  </si>
  <si>
    <t>98</t>
  </si>
  <si>
    <t>Úprava cementobetonového krytu vlečením vlhké tkaniny</t>
  </si>
  <si>
    <t>99</t>
  </si>
  <si>
    <t>Vložení kluzných trnů do spár CB krytu</t>
  </si>
  <si>
    <t>dodávka + montáž</t>
  </si>
  <si>
    <t>100</t>
  </si>
  <si>
    <t>919-05VD</t>
  </si>
  <si>
    <t>Zábradlí ocel. s osazením do bet.bloků,ze 2 trubek, výšky 1,10 m, výplň tyče</t>
  </si>
  <si>
    <t>Bourání konstrukcí</t>
  </si>
  <si>
    <t>101</t>
  </si>
  <si>
    <t>962023391R00</t>
  </si>
  <si>
    <t>Bourání zdiva nadzákladového smíšeného na MVC</t>
  </si>
  <si>
    <t>96_</t>
  </si>
  <si>
    <t>11*0,2*0,5</t>
  </si>
  <si>
    <t>V položce není kalkulována manipulace se sutí, která se oceňuje samostatně položkami souboru 979</t>
  </si>
  <si>
    <t>102</t>
  </si>
  <si>
    <t>961044111R00</t>
  </si>
  <si>
    <t>Bourání základů z betonu prostého</t>
  </si>
  <si>
    <t>11*0,2*0,8</t>
  </si>
  <si>
    <t>966-01VD</t>
  </si>
  <si>
    <t>Odstranění  kovového zábradlí</t>
  </si>
  <si>
    <t>104</t>
  </si>
  <si>
    <t>966006132R00</t>
  </si>
  <si>
    <t>Odstranění doprav.značek se sloupky, s bet.patkami</t>
  </si>
  <si>
    <t>106</t>
  </si>
  <si>
    <t>108</t>
  </si>
  <si>
    <t>109</t>
  </si>
  <si>
    <t>998224111R00</t>
  </si>
  <si>
    <t>Přesun hmot, pozemní komunikace, kryt betonový</t>
  </si>
  <si>
    <t>TDI UL. K JEZERŮM - VÝMLATIŠTĚ, SO 104.1.D - Stanoviště pro separovaný odpad - úsek "D"</t>
  </si>
  <si>
    <t>17*0,3</t>
  </si>
  <si>
    <t>pro základ zídky</t>
  </si>
  <si>
    <t>5,1</t>
  </si>
  <si>
    <t>14,5</t>
  </si>
  <si>
    <t>5,1*1,6</t>
  </si>
  <si>
    <t>Základy</t>
  </si>
  <si>
    <t>271313511R00</t>
  </si>
  <si>
    <t>Beton podkladní pod základové konstrukce, prostý</t>
  </si>
  <si>
    <t>27_</t>
  </si>
  <si>
    <t>5,3*0,1</t>
  </si>
  <si>
    <t>Položka je určena pro podkladní beton tl. do 100 mm pod základové patky, desky a pasy. Položka obsahuje náklady na dodávku a uložení betonu do připravené konstrukce. Bednění se oceňuje samostatně.</t>
  </si>
  <si>
    <t>Zdi podpěrné a volné</t>
  </si>
  <si>
    <t>311112320RT3</t>
  </si>
  <si>
    <t>Stěna z tvárnic ztraceného bednění , tl. 20 cm</t>
  </si>
  <si>
    <t>31_</t>
  </si>
  <si>
    <t>3_</t>
  </si>
  <si>
    <t>zalití tvárnic betonem C 20/25</t>
  </si>
  <si>
    <t>13,2*0,8</t>
  </si>
  <si>
    <t>Ztracené bednění z betonových tvárnic a zálivka betonem. Případné vložení betonářské oceli se oceňuje samostatně.</t>
  </si>
  <si>
    <t>311361821R00</t>
  </si>
  <si>
    <t>Výztuž nadzáklad. zdí z betonářské oceli 10505 (R)</t>
  </si>
  <si>
    <t>53*2*0,75*0,000617</t>
  </si>
  <si>
    <t>D10</t>
  </si>
  <si>
    <t>26,5*0,000395</t>
  </si>
  <si>
    <t>D8</t>
  </si>
  <si>
    <t>V položce jsou zakalkulovány náklady na dodání nastříhané a naohýbané výztuže, podložek, distančních vložek, drátu, skob apod., dále náklady na uložení výztuže a její vyvázání nebo přivaření bodovými svary</t>
  </si>
  <si>
    <t>318261211RT1</t>
  </si>
  <si>
    <t>Zdivo plot.z tvárnic ,bet.záliv,tl.200</t>
  </si>
  <si>
    <t>tvárnice hladká, přírodní</t>
  </si>
  <si>
    <t>13,2*0,6</t>
  </si>
  <si>
    <t>V položce jsou zakalkulovány náklady na dodávku betonových tvárnic, náklady na výplň betonem C 20/25 a na vložení a dodávku  betonářské oceli. V položce není zakalkulována stříška plotového zdiva a pomocné lešení. Stříška se oceňuje položkami 345 26-122.</t>
  </si>
  <si>
    <t>Stěny a příčky</t>
  </si>
  <si>
    <t>345232121RT1</t>
  </si>
  <si>
    <t>Stříška plotu ze zákrytových desek, šířka 300 mm</t>
  </si>
  <si>
    <t>34_</t>
  </si>
  <si>
    <t>včetně dodávky desek</t>
  </si>
  <si>
    <t>13,2</t>
  </si>
  <si>
    <t>Položka je určena pro osazování zákrytových desek na maltu MC 10. V položce jsou zakalkulovány náklady na dodávku desek, ztratné se doporučuje ve výši 1 %.</t>
  </si>
  <si>
    <t>;ztratné 1%; 0,145</t>
  </si>
  <si>
    <t>Zábradlí ocel. s osazením do bet.zídky,ze 2 trubek, výšky 1,10 m, výplň tyče</t>
  </si>
  <si>
    <t>12,5</t>
  </si>
  <si>
    <t>False</t>
  </si>
  <si>
    <t>Stavba:</t>
  </si>
  <si>
    <t>Objekt:</t>
  </si>
  <si>
    <t xml:space="preserve">SO 300, SO 301, SO 302. A.2.B.C- Prodloužení, vodovod </t>
  </si>
  <si>
    <t/>
  </si>
  <si>
    <t>Místo:</t>
  </si>
  <si>
    <t>Datum:</t>
  </si>
  <si>
    <t>Zadavatel:</t>
  </si>
  <si>
    <t>Zpracovatel:</t>
  </si>
  <si>
    <t>DPH</t>
  </si>
  <si>
    <t>základní</t>
  </si>
  <si>
    <t>snížená</t>
  </si>
  <si>
    <t>Cena celkem [CZK]</t>
  </si>
  <si>
    <t>-1</t>
  </si>
  <si>
    <t>SOUPIS PRACÍ</t>
  </si>
  <si>
    <t>PČ</t>
  </si>
  <si>
    <t>Typ</t>
  </si>
  <si>
    <t>Popis</t>
  </si>
  <si>
    <t>J.cena [CZK]</t>
  </si>
  <si>
    <t>Cenová soustava</t>
  </si>
  <si>
    <t>J. Nh [h]</t>
  </si>
  <si>
    <t>Nh celkem [h]</t>
  </si>
  <si>
    <t>J. hmotnost [t]</t>
  </si>
  <si>
    <t>Hmotnost celkem [t]</t>
  </si>
  <si>
    <t>J. suť [t]</t>
  </si>
  <si>
    <t>Suť Celkem [t]</t>
  </si>
  <si>
    <t>Náklady soupisu celkem</t>
  </si>
  <si>
    <t>D</t>
  </si>
  <si>
    <t>HSV</t>
  </si>
  <si>
    <t>Práce a dodávky HSV</t>
  </si>
  <si>
    <t>0</t>
  </si>
  <si>
    <t>ROZPOCET</t>
  </si>
  <si>
    <t>Zemní práce</t>
  </si>
  <si>
    <t>K</t>
  </si>
  <si>
    <t>113106171</t>
  </si>
  <si>
    <t>Rozebrání dlažeb vozovek ze zámkové dlažby s ložem z kameniva ručně</t>
  </si>
  <si>
    <t>1369330343</t>
  </si>
  <si>
    <t>113107513</t>
  </si>
  <si>
    <t>Odstranění podkladu z kameniva těženého tl přes 200 do 300 mm při překopech strojně pl přes 15 m2</t>
  </si>
  <si>
    <t>1833319693</t>
  </si>
  <si>
    <t>113107522</t>
  </si>
  <si>
    <t>Odstranění podkladu z kameniva drceného tl přes 100 do 200 mm při překopech strojně pl přes 15 m2</t>
  </si>
  <si>
    <t>-1932735399</t>
  </si>
  <si>
    <t>113107544</t>
  </si>
  <si>
    <t>Odstranění podkladu živičných tl přes 150 do 200 mm při překopech strojně pl přes 15 m2</t>
  </si>
  <si>
    <t>233994873</t>
  </si>
  <si>
    <t>132251255</t>
  </si>
  <si>
    <t>Hloubení rýh nezapažených š do 2000 mm v hornině třídy těžitelnosti I skupiny 3 objem do 1000 m3 strojně</t>
  </si>
  <si>
    <t>1171929185</t>
  </si>
  <si>
    <t>151101101</t>
  </si>
  <si>
    <t>Zřízení příložného pažení a rozepření stěn rýh hl do 2 m</t>
  </si>
  <si>
    <t>1958036337</t>
  </si>
  <si>
    <t>151101111</t>
  </si>
  <si>
    <t>Odstranění příložného pažení a rozepření stěn rýh hl do 2 m</t>
  </si>
  <si>
    <t>-1023795506</t>
  </si>
  <si>
    <t>162651112</t>
  </si>
  <si>
    <t>Vodorovné přemístění přes 4 000 do 5000 m výkopku/sypaniny z horniny třídy těžitelnosti I skupiny 1 až 3</t>
  </si>
  <si>
    <t>1838519022</t>
  </si>
  <si>
    <t>162751119</t>
  </si>
  <si>
    <t>Příplatek k vodorovnému přemístění výkopku/sypaniny z horniny třídy těžitelnosti I skupiny 1 až 3 ZKD 1000 m přes 10000 m</t>
  </si>
  <si>
    <t>-1058073690</t>
  </si>
  <si>
    <t>167111101</t>
  </si>
  <si>
    <t>Nakládání výkopku z hornin třídy těžitelnosti I skupiny 1 až 3 ručně</t>
  </si>
  <si>
    <t>-1552698808</t>
  </si>
  <si>
    <t>171201221</t>
  </si>
  <si>
    <t>Poplatek za uložení na skládce (skládkovné) zeminy a kamení kód odpadu 17 05 04</t>
  </si>
  <si>
    <t>1102866231</t>
  </si>
  <si>
    <t>174151101</t>
  </si>
  <si>
    <t>Zásyp jam, šachet rýh nebo kolem objektů sypaninou se zhutněním</t>
  </si>
  <si>
    <t>-1447223185</t>
  </si>
  <si>
    <t>175111101</t>
  </si>
  <si>
    <t>Obsypání potrubí ručně sypaninou bez prohození, uloženou do 3 m</t>
  </si>
  <si>
    <t>1399499559</t>
  </si>
  <si>
    <t>58337310</t>
  </si>
  <si>
    <t>štěrkopísek frakce 0/4</t>
  </si>
  <si>
    <t>665548923</t>
  </si>
  <si>
    <t>Vodorovné konstrukce</t>
  </si>
  <si>
    <t>451572111</t>
  </si>
  <si>
    <t>Lože pod potrubí otevřený výkop z kameniva drobného těženého</t>
  </si>
  <si>
    <t>-1597575491</t>
  </si>
  <si>
    <t>452313121</t>
  </si>
  <si>
    <t>Podkladní bloky z betonu prostého tř. C 8/10 otevřený výkop</t>
  </si>
  <si>
    <t>478739813</t>
  </si>
  <si>
    <t>Komunikace pozemní</t>
  </si>
  <si>
    <t>566901231</t>
  </si>
  <si>
    <t>Vyspravení podkladu po překopech inženýrských sítí plochy přes 15 m2 štěrkodrtí tl. 100 mm</t>
  </si>
  <si>
    <t>2118893766</t>
  </si>
  <si>
    <t>566901234</t>
  </si>
  <si>
    <t>Vyspravení podkladu po překopech inženýrských sítí plochy přes 15 m2 štěrkodrtí tl. 250 mm</t>
  </si>
  <si>
    <t>-19518188</t>
  </si>
  <si>
    <t>566901261</t>
  </si>
  <si>
    <t>Vyspravení podkladu po překopech inženýrských sítí plochy přes 15 m2 obalovaným kamenivem ACP (OK) tl. 100 mm</t>
  </si>
  <si>
    <t>-1001563158</t>
  </si>
  <si>
    <t>566901273</t>
  </si>
  <si>
    <t>Vyspravení podkladu po překopech inženýrských sítí plochy přes 15 m2 směsí stmelenou cementem SC20/25 tl 200 mm</t>
  </si>
  <si>
    <t>1501225467</t>
  </si>
  <si>
    <t>572340111</t>
  </si>
  <si>
    <t>Vyspravení krytu komunikací po překopech pl do 15 m2 asfaltovým betonem ACO (AB) tl přes 30 do 50 mm</t>
  </si>
  <si>
    <t>-374342625</t>
  </si>
  <si>
    <t>572371111r01</t>
  </si>
  <si>
    <t>Vyspravení krytu komunikací po překopech pl přes 15 m2 dlažbou ZD  8cm</t>
  </si>
  <si>
    <t>700520956</t>
  </si>
  <si>
    <t>573211109</t>
  </si>
  <si>
    <t>Postřik živičný spojovací z asfaltu v množství 0,50 kg/m2</t>
  </si>
  <si>
    <t>-706938395</t>
  </si>
  <si>
    <t>Trubní vedení</t>
  </si>
  <si>
    <t>850315R01</t>
  </si>
  <si>
    <t xml:space="preserve">Propojení se stávajícím vodovodem </t>
  </si>
  <si>
    <t>-378607849</t>
  </si>
  <si>
    <t>851241131</t>
  </si>
  <si>
    <t>Montáž potrubí z trub litinových hrdlových s integrovaným těsněním otevřený výkop DN 80</t>
  </si>
  <si>
    <t>-709256359</t>
  </si>
  <si>
    <t>DKT.ST80C100</t>
  </si>
  <si>
    <t xml:space="preserve">TLT DN 80 hrdlová - dle standartů </t>
  </si>
  <si>
    <t>1699250461</t>
  </si>
  <si>
    <t>851261131</t>
  </si>
  <si>
    <t>Montáž potrubí z trub litinových hrdlových s integrovaným těsněním otevřený výkop DN 100</t>
  </si>
  <si>
    <t>1850288603</t>
  </si>
  <si>
    <t>DKT.ST100C100</t>
  </si>
  <si>
    <t xml:space="preserve">TLT DN 100 hrdlová - dle standartů </t>
  </si>
  <si>
    <t>855001539</t>
  </si>
  <si>
    <t>851311131</t>
  </si>
  <si>
    <t>Montáž potrubí z trub litinových hrdlových s integrovaným těsněním otevřený výkop DN 150</t>
  </si>
  <si>
    <t>-1143791688</t>
  </si>
  <si>
    <t>DKT.ST150C64</t>
  </si>
  <si>
    <t xml:space="preserve">TLT DN 150 hrdlová - dle standartů </t>
  </si>
  <si>
    <t>-224065830</t>
  </si>
  <si>
    <t>857241131</t>
  </si>
  <si>
    <t>Montáž litinových tvarovek jednoosých hrdlových otevřený výkop s integrovaným těsněním DN 80</t>
  </si>
  <si>
    <t>-664418949</t>
  </si>
  <si>
    <t>857242122</t>
  </si>
  <si>
    <t>Montáž litinových tvarovek jednoosých přírubových otevřený výkop DN 80</t>
  </si>
  <si>
    <t>-1624256143</t>
  </si>
  <si>
    <t>857261131</t>
  </si>
  <si>
    <t>Montáž litinových tvarovek jednoosých hrdlových otevřený výkop s integrovaným těsněním DN 100</t>
  </si>
  <si>
    <t>-2009734804</t>
  </si>
  <si>
    <t>55253917</t>
  </si>
  <si>
    <t>koleno hrdlové z tvárné litiny DN 100-22,5°</t>
  </si>
  <si>
    <t>-949317418</t>
  </si>
  <si>
    <t>55253919</t>
  </si>
  <si>
    <t>koleno hrdlové z tvárné litiny DN 150-22,5°</t>
  </si>
  <si>
    <t>606920947</t>
  </si>
  <si>
    <t>55253943</t>
  </si>
  <si>
    <t>koleno hrdlové z tvárné litiny  DN 150-45°</t>
  </si>
  <si>
    <t>1915475513</t>
  </si>
  <si>
    <t>55254047</t>
  </si>
  <si>
    <t>koleno 90° s patkou přírubové litinové vodovodní  DN 80</t>
  </si>
  <si>
    <t>430803163</t>
  </si>
  <si>
    <t>55251310</t>
  </si>
  <si>
    <t>tvarovka hrdlová F DN 80</t>
  </si>
  <si>
    <t>1738633437</t>
  </si>
  <si>
    <t>55251311</t>
  </si>
  <si>
    <t>tvarovka hrdlová F DN 100</t>
  </si>
  <si>
    <t>-1095630569</t>
  </si>
  <si>
    <t>55251312</t>
  </si>
  <si>
    <t>tvarovka hrdlová F DN 150</t>
  </si>
  <si>
    <t>195520255</t>
  </si>
  <si>
    <t>55253929</t>
  </si>
  <si>
    <t>koleno hrdlové z tvárné litiny DN 100-30°</t>
  </si>
  <si>
    <t>333166650</t>
  </si>
  <si>
    <t>55253905</t>
  </si>
  <si>
    <t>koleno hrdlové z tvárné litiny DN 100-11,25°</t>
  </si>
  <si>
    <t>-783943003</t>
  </si>
  <si>
    <t>55253892</t>
  </si>
  <si>
    <t>tvarovka přírubová s hrdlem z tvárné litiny  E DN 80</t>
  </si>
  <si>
    <t>5794353</t>
  </si>
  <si>
    <t>55253893</t>
  </si>
  <si>
    <t>tvarovka přírubová s hrdlem z tvárné litiny E DN 100</t>
  </si>
  <si>
    <t>-94031589</t>
  </si>
  <si>
    <t>55253895</t>
  </si>
  <si>
    <t>tvarovka přírubová s hrdlem z tvárné litiny E DN 150</t>
  </si>
  <si>
    <t>-138393620</t>
  </si>
  <si>
    <t>55253941</t>
  </si>
  <si>
    <t>koleno hrdlové z tvárné litiny DN 100-45°</t>
  </si>
  <si>
    <t>919925305</t>
  </si>
  <si>
    <t>55251321</t>
  </si>
  <si>
    <t>příruba pro tvarovku vodovodní vícefunkční DN 100</t>
  </si>
  <si>
    <t>1139714490</t>
  </si>
  <si>
    <t>55251322</t>
  </si>
  <si>
    <t>příruba pro tvarovku vodovodní vícefunkční DN 150</t>
  </si>
  <si>
    <t>359133112</t>
  </si>
  <si>
    <t>55253810</t>
  </si>
  <si>
    <t>tvarovka hrdlová s hrdlovou odbočkou z tvárné litin DN 100/80</t>
  </si>
  <si>
    <t>-739579292</t>
  </si>
  <si>
    <t>55253815</t>
  </si>
  <si>
    <t>tvarovka hrdlová s hrdlovou odbočkou z tvárné litiny DN 150/80</t>
  </si>
  <si>
    <t>1488279107</t>
  </si>
  <si>
    <t>55253527</t>
  </si>
  <si>
    <t>tvarovka přírubová litinová s přírubovou odbočkou  DN 150/80</t>
  </si>
  <si>
    <t>686384847</t>
  </si>
  <si>
    <t>55253514r01</t>
  </si>
  <si>
    <t>tvarovka přírubová litinová s přírubovou odbočkou DN 100/100</t>
  </si>
  <si>
    <t>1123432947</t>
  </si>
  <si>
    <t>55253528</t>
  </si>
  <si>
    <t>tvarovka přírubová litinová s přírubovou odbočkou DN 150/100</t>
  </si>
  <si>
    <t>978299744</t>
  </si>
  <si>
    <t>857262122</t>
  </si>
  <si>
    <t>Montáž litinových tvarovek jednoosých přírubových otevřený výkop DN 100</t>
  </si>
  <si>
    <t>2010991919</t>
  </si>
  <si>
    <t>857263131</t>
  </si>
  <si>
    <t>Montáž litinových tvarovek odbočných hrdlových otevřený výkop s integrovaným těsněním DN 100</t>
  </si>
  <si>
    <t>366567194</t>
  </si>
  <si>
    <t>TMP.709305616</t>
  </si>
  <si>
    <t>spojka WAGA  DN 100</t>
  </si>
  <si>
    <t>-28212858</t>
  </si>
  <si>
    <t>TMP.709305620</t>
  </si>
  <si>
    <t>spojka WAGA  DN 150</t>
  </si>
  <si>
    <t>1379077746</t>
  </si>
  <si>
    <t>857264122</t>
  </si>
  <si>
    <t>Montáž litinových tvarovek odbočných přírubových otevřený výkop DN 100</t>
  </si>
  <si>
    <t>2108084171</t>
  </si>
  <si>
    <t>857311131</t>
  </si>
  <si>
    <t>Montáž litinových tvarovek jednoosých hrdlových otevřený výkop s integrovaným těsněním DN 150</t>
  </si>
  <si>
    <t>-1847452726</t>
  </si>
  <si>
    <t>857312122</t>
  </si>
  <si>
    <t>Montáž litinových tvarovek jednoosých přírubových otevřený výkop DN 150</t>
  </si>
  <si>
    <t>471099240</t>
  </si>
  <si>
    <t>857314122</t>
  </si>
  <si>
    <t>Montáž litinových tvarovek odbočných přírubových otevřený výkop DN 150</t>
  </si>
  <si>
    <t>-242506117</t>
  </si>
  <si>
    <t>891241112</t>
  </si>
  <si>
    <t>Montáž vodovodních šoupátek otevřený výkop DN 80</t>
  </si>
  <si>
    <t>1174919305</t>
  </si>
  <si>
    <t>42221303</t>
  </si>
  <si>
    <t>šoupátko pitná voda litina DN 80</t>
  </si>
  <si>
    <t>-268192593</t>
  </si>
  <si>
    <t>891247111</t>
  </si>
  <si>
    <t>Montáž hydrantů podzemních DN 80</t>
  </si>
  <si>
    <t>2128001739</t>
  </si>
  <si>
    <t>422736600</t>
  </si>
  <si>
    <t>hydrant podzemní  DN80 PN16</t>
  </si>
  <si>
    <t>1332681928</t>
  </si>
  <si>
    <t>891247212</t>
  </si>
  <si>
    <t>Montáž hydrantů nadzemních DN 80</t>
  </si>
  <si>
    <t>445978902</t>
  </si>
  <si>
    <t>42273680r01</t>
  </si>
  <si>
    <t>1965398804</t>
  </si>
  <si>
    <t>891261112</t>
  </si>
  <si>
    <t>Montáž vodovodních šoupátek otevřený výkop DN 100</t>
  </si>
  <si>
    <t>-1513240612</t>
  </si>
  <si>
    <t>42221304</t>
  </si>
  <si>
    <t>šoupátko pitná voda litina DN 100</t>
  </si>
  <si>
    <t>-1910532003</t>
  </si>
  <si>
    <t>891311112</t>
  </si>
  <si>
    <t>Montáž vodovodních šoupátek otevřený výkop DN 150</t>
  </si>
  <si>
    <t>-730363836</t>
  </si>
  <si>
    <t>42221306</t>
  </si>
  <si>
    <t>šoupátko pitná voda litina DN 150</t>
  </si>
  <si>
    <t>1091183401</t>
  </si>
  <si>
    <t>892271111</t>
  </si>
  <si>
    <t>Tlaková zkouška vodou potrubí DN 100 nebo 125</t>
  </si>
  <si>
    <t>-1678845917</t>
  </si>
  <si>
    <t>892273122</t>
  </si>
  <si>
    <t>Proplach a dezinfekce vodovodního potrubí DN od 80 do 125</t>
  </si>
  <si>
    <t>-1139831350</t>
  </si>
  <si>
    <t>892351111</t>
  </si>
  <si>
    <t>Tlaková zkouška vodou potrubí DN 150 nebo 200</t>
  </si>
  <si>
    <t>595483654</t>
  </si>
  <si>
    <t>892353122</t>
  </si>
  <si>
    <t>Proplach a dezinfekce vodovodního potrubí DN 150 nebo 200</t>
  </si>
  <si>
    <t>713474909</t>
  </si>
  <si>
    <t>892372111</t>
  </si>
  <si>
    <t>Zabezpečení konců potrubí DN do 300 při tlakových zkouškách vodou</t>
  </si>
  <si>
    <t>1646299779</t>
  </si>
  <si>
    <t>422914520</t>
  </si>
  <si>
    <t>poklop litinový typ 522-hydrantový   DN 80</t>
  </si>
  <si>
    <t>-339110187</t>
  </si>
  <si>
    <t>899401112</t>
  </si>
  <si>
    <t>Osazení poklopů litinových šoupátkových</t>
  </si>
  <si>
    <t>-1698075787</t>
  </si>
  <si>
    <t>42291352</t>
  </si>
  <si>
    <t>poklop litinový šoupátkový pro zemní soupravy osazení do terénu a do vozovky</t>
  </si>
  <si>
    <t>-2000379617</t>
  </si>
  <si>
    <t>899401113</t>
  </si>
  <si>
    <t>Osazení poklopů litinových hydrantových</t>
  </si>
  <si>
    <t>1811405988</t>
  </si>
  <si>
    <t>899713111</t>
  </si>
  <si>
    <t>Orientační tabulky na sloupku betonovém nebo ocelovém</t>
  </si>
  <si>
    <t>294249350</t>
  </si>
  <si>
    <t>899721111</t>
  </si>
  <si>
    <t>Signalizační vodič DN do 150 mm na potrubí PVC</t>
  </si>
  <si>
    <t>-682527196</t>
  </si>
  <si>
    <t>899721111R01</t>
  </si>
  <si>
    <t xml:space="preserve">Identifikační body MARKER </t>
  </si>
  <si>
    <t>soub</t>
  </si>
  <si>
    <t>-911589501</t>
  </si>
  <si>
    <t>899722113</t>
  </si>
  <si>
    <t>Krytí potrubí z plastů výstražnou fólií z PVC 34cm</t>
  </si>
  <si>
    <t>-256874004</t>
  </si>
  <si>
    <t>Ostatní konstrukce a práce, bourání</t>
  </si>
  <si>
    <t>916111112r01</t>
  </si>
  <si>
    <t>Obedláždění poklopu hydrantu dvěma řadami kostek y do lože z betonu prostého</t>
  </si>
  <si>
    <t>1131991249</t>
  </si>
  <si>
    <t>58381008</t>
  </si>
  <si>
    <t>kostka štípaná dlažební žula velká 15/17</t>
  </si>
  <si>
    <t>-1426618958</t>
  </si>
  <si>
    <t>919735112</t>
  </si>
  <si>
    <t>Řezání stávajícího živičného krytu hl přes 50 do 100 mm</t>
  </si>
  <si>
    <t>1658609575</t>
  </si>
  <si>
    <t>997</t>
  </si>
  <si>
    <t>Přesun sutě</t>
  </si>
  <si>
    <t>997221571</t>
  </si>
  <si>
    <t>Vodorovná doprava vybouraných hmot do 1 km</t>
  </si>
  <si>
    <t>1614115769</t>
  </si>
  <si>
    <t>997221579</t>
  </si>
  <si>
    <t>Příplatek ZKD 1 km u vodorovné dopravy vybouraných hmot</t>
  </si>
  <si>
    <t>-923446060</t>
  </si>
  <si>
    <t>997221612</t>
  </si>
  <si>
    <t>Nakládání vybouraných hmot na dopravní prostředky pro vodorovnou dopravu</t>
  </si>
  <si>
    <t>893965688</t>
  </si>
  <si>
    <t>997221645</t>
  </si>
  <si>
    <t>Poplatek za uložení na skládce (skládkovné) odpadu asfaltového bez dehtu kód odpadu 17 03 02</t>
  </si>
  <si>
    <t>986975041</t>
  </si>
  <si>
    <t>997221655</t>
  </si>
  <si>
    <t>-52476192</t>
  </si>
  <si>
    <t>998</t>
  </si>
  <si>
    <t>Přesun hmot</t>
  </si>
  <si>
    <t>998273102</t>
  </si>
  <si>
    <t>Přesun hmot pro trubní vedení z trub litinových otevřený výkop</t>
  </si>
  <si>
    <t>-1823653115</t>
  </si>
  <si>
    <t>VRN</t>
  </si>
  <si>
    <t>Vedlejší rozpočtové náklady</t>
  </si>
  <si>
    <t>VRN1</t>
  </si>
  <si>
    <t>Průzkumné, geodetické a projektové práce</t>
  </si>
  <si>
    <t>012103000</t>
  </si>
  <si>
    <t>Geodetické práce před výstavbou - vytýčení st. vodovodu</t>
  </si>
  <si>
    <t>1024</t>
  </si>
  <si>
    <t>-311928939</t>
  </si>
  <si>
    <t>012303000</t>
  </si>
  <si>
    <t xml:space="preserve">Geodetické práce po výstavbě - zaměření  vodovodu </t>
  </si>
  <si>
    <t>-1556264120</t>
  </si>
  <si>
    <t>013254000</t>
  </si>
  <si>
    <t>Dokumentace skutečného provedení stavby</t>
  </si>
  <si>
    <t>-1202323975</t>
  </si>
  <si>
    <t>VRN4</t>
  </si>
  <si>
    <t>Inženýrská činnost</t>
  </si>
  <si>
    <t>043002000</t>
  </si>
  <si>
    <t xml:space="preserve">Zkoušky a ostatní měření - odebrání vzorků, chemický a mikrobilogický rozbor </t>
  </si>
  <si>
    <t>-690365057</t>
  </si>
  <si>
    <t>043194000</t>
  </si>
  <si>
    <t xml:space="preserve">Ostatní zkoušky - funkční zkouška signalizačního kabelu </t>
  </si>
  <si>
    <t>2040823594</t>
  </si>
  <si>
    <t xml:space="preserve">TDI UL. K JEZERUM - VÝMLATIŠTĚ - III. vodovod, kanalizace, zasakování
SO 300, SO 301, SO 302. A.2.B.C- Prodloužení, vodovod </t>
  </si>
  <si>
    <t xml:space="preserve">SO 305, SO 306.A.2.B,C- Kanalizace </t>
  </si>
  <si>
    <t>115101201</t>
  </si>
  <si>
    <t>Čerpání vody na dopravní výšku do 10 m průměrný přítok do 500 l/min</t>
  </si>
  <si>
    <t>hod</t>
  </si>
  <si>
    <t>-667173244</t>
  </si>
  <si>
    <t>115101301</t>
  </si>
  <si>
    <t>Pohotovost čerpací soupravy pro dopravní výšku do 10 m přítok do 500 l/min</t>
  </si>
  <si>
    <t>den</t>
  </si>
  <si>
    <t>-1103874274</t>
  </si>
  <si>
    <t>132251256</t>
  </si>
  <si>
    <t>Hloubení rýh nezapažených š do 2000 mm v hornině třídy těžitelnosti I skupiny 3 objem do 5000 m3 strojně</t>
  </si>
  <si>
    <t>-1142664083</t>
  </si>
  <si>
    <t>151101103</t>
  </si>
  <si>
    <t>Zřízení příložného pažení a rozepření stěn rýh hl přes 4 do 8 m</t>
  </si>
  <si>
    <t>1603269271</t>
  </si>
  <si>
    <t>151101113</t>
  </si>
  <si>
    <t>Odstranění příložného pažení a rozepření stěn rýh hl přes 4 do 8 m</t>
  </si>
  <si>
    <t>721513271</t>
  </si>
  <si>
    <t>1027886454</t>
  </si>
  <si>
    <t>2055293627</t>
  </si>
  <si>
    <t>-1642721659</t>
  </si>
  <si>
    <t>1440625865</t>
  </si>
  <si>
    <t>148710686</t>
  </si>
  <si>
    <t>109967217</t>
  </si>
  <si>
    <t>58337331</t>
  </si>
  <si>
    <t>štěrkopísek frakce 0/22</t>
  </si>
  <si>
    <t>-1896468052</t>
  </si>
  <si>
    <t>Svislé a kompletní konstrukce</t>
  </si>
  <si>
    <t>359901211</t>
  </si>
  <si>
    <t>Monitoring stoky jakékoli výšky na nové kanalizaci</t>
  </si>
  <si>
    <t>-1996476311</t>
  </si>
  <si>
    <t>739807014</t>
  </si>
  <si>
    <t>452311131</t>
  </si>
  <si>
    <t>Podkladní desky z betonu prostého tř. C 12/15 otevřený výkop</t>
  </si>
  <si>
    <t>249326549</t>
  </si>
  <si>
    <t>452385111</t>
  </si>
  <si>
    <t>Podkladní pražce ze ŽB tř. C 12/15 otevřený výkop pl do 25000 mm2</t>
  </si>
  <si>
    <t>671035503</t>
  </si>
  <si>
    <t>831372121</t>
  </si>
  <si>
    <t>Montáž potrubí z trub kameninových hrdlových s integrovaným těsněním výkop sklon do 20 % DN 300</t>
  </si>
  <si>
    <t>-1175866685</t>
  </si>
  <si>
    <t>59710707</t>
  </si>
  <si>
    <t>trouba kameninová glazovaná DN 300 dl 2,50m - dle standartů</t>
  </si>
  <si>
    <t>1304494009</t>
  </si>
  <si>
    <t>59224067</t>
  </si>
  <si>
    <t>skruž betonová DN 1000x500, 100x50x12cm</t>
  </si>
  <si>
    <t>801852310</t>
  </si>
  <si>
    <t>59224065</t>
  </si>
  <si>
    <t>skruž betonová DN 1000x250, 100x25x12cm</t>
  </si>
  <si>
    <t>1746999010</t>
  </si>
  <si>
    <t>59224069</t>
  </si>
  <si>
    <t>skruž betonová DN 1000x1000, 100x100x12cm</t>
  </si>
  <si>
    <t>-1641986638</t>
  </si>
  <si>
    <t>59224312</t>
  </si>
  <si>
    <t>kónus šachetní betonový kapsové plastové stupadlo 100x62,5x58cm</t>
  </si>
  <si>
    <t>425139552</t>
  </si>
  <si>
    <t>59224185</t>
  </si>
  <si>
    <t>prstenec šachtový vyrovnávací betonový 625x120x60mm</t>
  </si>
  <si>
    <t>1958406209</t>
  </si>
  <si>
    <t>59224176</t>
  </si>
  <si>
    <t>prstenec šachtový vyrovnávací betonový 625x120x80mm</t>
  </si>
  <si>
    <t>-437428359</t>
  </si>
  <si>
    <t>59224187</t>
  </si>
  <si>
    <t>prstenec šachtový vyrovnávací betonový 625x120x100mm</t>
  </si>
  <si>
    <t>1261106975</t>
  </si>
  <si>
    <t>59224188</t>
  </si>
  <si>
    <t>prstenec šachtový vyrovnávací betonový 625x120x120mm</t>
  </si>
  <si>
    <t>-541334216</t>
  </si>
  <si>
    <t>59224034</t>
  </si>
  <si>
    <t xml:space="preserve">dno betonové šachtové DN 300 kameninový žlab i nástupnice </t>
  </si>
  <si>
    <t>-1029929534</t>
  </si>
  <si>
    <t>837371221</t>
  </si>
  <si>
    <t>Montáž kameninových tvarovek odbočných s integrovaným těsněním otevřený výkop DN 300</t>
  </si>
  <si>
    <t>-406584100</t>
  </si>
  <si>
    <t>59711774</t>
  </si>
  <si>
    <t xml:space="preserve">odbočka kameninová glazovaná jednoduchá kolmá DN 300/200 </t>
  </si>
  <si>
    <t>-2042131400</t>
  </si>
  <si>
    <t>894212221r01</t>
  </si>
  <si>
    <t>Dno šachetní monolitické do DN 400 , žlab a podesta kamenina</t>
  </si>
  <si>
    <t>1367742390</t>
  </si>
  <si>
    <t>894411221</t>
  </si>
  <si>
    <t>Zřízení šachet kanalizačních z betonových dílců na potrubí DN přes 200 do 300 dno kamenina</t>
  </si>
  <si>
    <t>-952720928</t>
  </si>
  <si>
    <t>894411231</t>
  </si>
  <si>
    <t>Zřízení šachet kanalizačních z betonových dílců na potrubí DN přes 300 do 400 dno kamenina</t>
  </si>
  <si>
    <t>1718210201</t>
  </si>
  <si>
    <t>899104112</t>
  </si>
  <si>
    <t>Osazení poklopů litinových nebo ocelových včetně rámů pro třídu zatížení D400, E600</t>
  </si>
  <si>
    <t>646306564</t>
  </si>
  <si>
    <t>KSI.KDB01</t>
  </si>
  <si>
    <t>1223365778</t>
  </si>
  <si>
    <t>899623161</t>
  </si>
  <si>
    <t>Obetonování potrubí nebo zdiva stok betonem prostým tř. C 20/25 v otevřeném výkopu</t>
  </si>
  <si>
    <t>1641923303</t>
  </si>
  <si>
    <t>998275101</t>
  </si>
  <si>
    <t>Přesun hmot pro trubní vedení z trub kameninových otevřený výkop</t>
  </si>
  <si>
    <t>-1903414383</t>
  </si>
  <si>
    <t>Geodetické práce před výstavbou - vytýčení st. kanalizace</t>
  </si>
  <si>
    <t>1221836308</t>
  </si>
  <si>
    <t>Geodetické práce po výstavbě - zaměření kanalizace</t>
  </si>
  <si>
    <t>119959577</t>
  </si>
  <si>
    <t>1604245635</t>
  </si>
  <si>
    <t xml:space="preserve">Zkouška těsnosti </t>
  </si>
  <si>
    <t>931164528</t>
  </si>
  <si>
    <t xml:space="preserve">TDI UL. K JEZERUM - VÝMLATIŠTĚ - III. vodovod, kanalizace, zasakování
SO 305, SO 306.A.2.B,C- Kanalizace </t>
  </si>
  <si>
    <t xml:space="preserve">SO 303, SO 304.A.2.B.C - Povrchové odvodnění </t>
  </si>
  <si>
    <t>132251254</t>
  </si>
  <si>
    <t>Hloubení rýh nezapažených š do 2000 mm v hornině třídy těžitelnosti I skupiny 3 objem do 500 m3 strojně</t>
  </si>
  <si>
    <t>-2122950241</t>
  </si>
  <si>
    <t>134702401</t>
  </si>
  <si>
    <t>Vykopávky do 4 m2 pro studny spouštěné v hornině tř. 1 - 4 mimo kašovité a tekoucí hl do 10 m</t>
  </si>
  <si>
    <t>15395345</t>
  </si>
  <si>
    <t>317878339</t>
  </si>
  <si>
    <t>1442772098</t>
  </si>
  <si>
    <t>-397084842</t>
  </si>
  <si>
    <t>493338442</t>
  </si>
  <si>
    <t>1546477307</t>
  </si>
  <si>
    <t>235609015</t>
  </si>
  <si>
    <t>633185771</t>
  </si>
  <si>
    <t>175151201r01</t>
  </si>
  <si>
    <t xml:space="preserve">Obsypání vsakovacích objketů vč. vrstev zásypů </t>
  </si>
  <si>
    <t>-2080426637</t>
  </si>
  <si>
    <t>58343810</t>
  </si>
  <si>
    <t>kamenivo drcené hrubé frakce 4/8</t>
  </si>
  <si>
    <t>-1853315761</t>
  </si>
  <si>
    <t>58337403</t>
  </si>
  <si>
    <t>kamenivo dekorační (kačírek) frakce 16/32</t>
  </si>
  <si>
    <t>-1589771911</t>
  </si>
  <si>
    <t>58343872</t>
  </si>
  <si>
    <t>kamenivo drcené hrubé frakce 8/16</t>
  </si>
  <si>
    <t>-728236605</t>
  </si>
  <si>
    <t>58721002r01</t>
  </si>
  <si>
    <t>-869354610</t>
  </si>
  <si>
    <t>182111111r01</t>
  </si>
  <si>
    <t xml:space="preserve">Montáž rašlového úpletu </t>
  </si>
  <si>
    <t>851807987</t>
  </si>
  <si>
    <t>69311315r01</t>
  </si>
  <si>
    <t xml:space="preserve">rašlový úplet </t>
  </si>
  <si>
    <t>-1728073425</t>
  </si>
  <si>
    <t>183106611</t>
  </si>
  <si>
    <t xml:space="preserve">Ochrana stromu protikořenovou clonou </t>
  </si>
  <si>
    <t>-460739141</t>
  </si>
  <si>
    <t>JTA.0013419.URS</t>
  </si>
  <si>
    <t xml:space="preserve">protikořenová folie </t>
  </si>
  <si>
    <t>-1903856273</t>
  </si>
  <si>
    <t>Zakládání</t>
  </si>
  <si>
    <t>242111113</t>
  </si>
  <si>
    <t>Osazení pláště kopané studny z betonových skruží celokruhových DN 1 m</t>
  </si>
  <si>
    <t>-119269513</t>
  </si>
  <si>
    <t>PSB.36010100</t>
  </si>
  <si>
    <t>Betonová skruž 1000 mm</t>
  </si>
  <si>
    <t>-897139588</t>
  </si>
  <si>
    <t>243571113</t>
  </si>
  <si>
    <t>Výplň na dně studny z kameniva drobného těženého 2-4 mm</t>
  </si>
  <si>
    <t>-957252637</t>
  </si>
  <si>
    <t>247531111</t>
  </si>
  <si>
    <t>Obsyp studny z kameniva hrubého</t>
  </si>
  <si>
    <t>-1427578018</t>
  </si>
  <si>
    <t>247681114</t>
  </si>
  <si>
    <t>Těsnění studny z jílu se zhutněním</t>
  </si>
  <si>
    <t>525663761</t>
  </si>
  <si>
    <t>58125110</t>
  </si>
  <si>
    <t>jíl surový kusový</t>
  </si>
  <si>
    <t>904024593</t>
  </si>
  <si>
    <t>910993556</t>
  </si>
  <si>
    <t>34347519</t>
  </si>
  <si>
    <t>-209667351</t>
  </si>
  <si>
    <t>Úpravy povrchů, podlahy a osazování výplní</t>
  </si>
  <si>
    <t>636311111</t>
  </si>
  <si>
    <t>Kladení dlažby z betonových dlaždic 40x40 cm na sucho na terče z umělé hmoty do výšky do 25 mm</t>
  </si>
  <si>
    <t>491766916</t>
  </si>
  <si>
    <t>BET.PL44C01</t>
  </si>
  <si>
    <t>-672715583</t>
  </si>
  <si>
    <t>831312121</t>
  </si>
  <si>
    <t>Montáž potrubí z trub kameninových hrdlových s integrovaným těsněním výkop sklon do 20 % DN 150</t>
  </si>
  <si>
    <t>466569489</t>
  </si>
  <si>
    <t>59710675</t>
  </si>
  <si>
    <t>trouba kameninová glazovaná DN 150 dl 1,50m spojovací systém F</t>
  </si>
  <si>
    <t>-744230125</t>
  </si>
  <si>
    <t>871315211</t>
  </si>
  <si>
    <t>Kanalizační potrubí z tvrdého PVC jednovrstvé tuhost třídy SN4 DN 160</t>
  </si>
  <si>
    <t>-1065043116</t>
  </si>
  <si>
    <t>59224075</t>
  </si>
  <si>
    <t>deska betonová zákrytová k ukončení šachet 1000/625x200mm</t>
  </si>
  <si>
    <t>-1612501757</t>
  </si>
  <si>
    <t>894410211</t>
  </si>
  <si>
    <t>Osazení betonových dílců pro kanalizační šachty DN 1000 skruž rovná výšky 250 mm</t>
  </si>
  <si>
    <t>-913079824</t>
  </si>
  <si>
    <t>897171114</t>
  </si>
  <si>
    <t>Akumulační boxy z PP pro vsakování dešťových vod zatížené osobními automobily objemu přes 60 do 250 m3</t>
  </si>
  <si>
    <t>1794301311</t>
  </si>
  <si>
    <t>897173113</t>
  </si>
  <si>
    <t>Kontrolní šachta integrovaná do akumulačních boxů vč. vtokového roštu</t>
  </si>
  <si>
    <t>620106083</t>
  </si>
  <si>
    <t>762303743</t>
  </si>
  <si>
    <t>KSI.KDB01r1</t>
  </si>
  <si>
    <t xml:space="preserve">Kanalizační poklop vzor BEGU - BKOM </t>
  </si>
  <si>
    <t>1204801566</t>
  </si>
  <si>
    <t>899501221</t>
  </si>
  <si>
    <t>Stupadla do šachet ocelová s PE povlakem vidlicová pro přímé zabudování do hmoždinek</t>
  </si>
  <si>
    <t>-1275524122</t>
  </si>
  <si>
    <t>366139452</t>
  </si>
  <si>
    <t>919726121</t>
  </si>
  <si>
    <t>Geotextilie pro ochranu, separaci a filtraci netkaná měrná hm do 200 g/m2</t>
  </si>
  <si>
    <t>1613061672</t>
  </si>
  <si>
    <t>998254011</t>
  </si>
  <si>
    <t>Přesun hmot pro studny a jímání vody</t>
  </si>
  <si>
    <t>-214084831</t>
  </si>
  <si>
    <t>-48758715</t>
  </si>
  <si>
    <t>998276101</t>
  </si>
  <si>
    <t>Přesun hmot pro trubní vedení z trub z plastických hmot otevřený výkop</t>
  </si>
  <si>
    <t>-2046002004</t>
  </si>
  <si>
    <t xml:space="preserve">Geodetické práce po výstavbě - zaměření </t>
  </si>
  <si>
    <t>359971760</t>
  </si>
  <si>
    <t>808269393</t>
  </si>
  <si>
    <t xml:space="preserve">TDI UL. K JEZERUM - VÝMLATIŠTĚ - III. vodovod, kanalizace, zasakování
SO 303, SO 304.A.2.B.C - Povrchové odvodnění </t>
  </si>
  <si>
    <t xml:space="preserve">SO 405.1-P.D - Přeložka VO - přeložky bodů - úsek D  </t>
  </si>
  <si>
    <t>Brno - Holásky</t>
  </si>
  <si>
    <t>PSV</t>
  </si>
  <si>
    <t>Práce a dodávky M</t>
  </si>
  <si>
    <t>741</t>
  </si>
  <si>
    <t>Elektroinstalace - silnoproud</t>
  </si>
  <si>
    <t>741110312-Rkp40</t>
  </si>
  <si>
    <t>Montáž trubka ochranná do krabic plastová tuhá D přes 40 do 90 mm uložená volně</t>
  </si>
  <si>
    <t>-1885419257</t>
  </si>
  <si>
    <t>VV</t>
  </si>
  <si>
    <t>"trasa" 88</t>
  </si>
  <si>
    <t>True</t>
  </si>
  <si>
    <t>"do sloupů" 4*3</t>
  </si>
  <si>
    <t>"do skříně" 1</t>
  </si>
  <si>
    <t>345713520-R1</t>
  </si>
  <si>
    <t>trubka elektroinstalační ohebná , HDPE+LDPE KF 09063</t>
  </si>
  <si>
    <t>312324723</t>
  </si>
  <si>
    <t>741122223</t>
  </si>
  <si>
    <t>Montáž kabel Cu plný kulatý žíla 4x16 až 25 mm2 uložený volně (CYKY)</t>
  </si>
  <si>
    <t>-140439353</t>
  </si>
  <si>
    <t>"do sloupů" 4*5</t>
  </si>
  <si>
    <t>"do skříně" 2</t>
  </si>
  <si>
    <t>341110800</t>
  </si>
  <si>
    <t>kabel silový s Cu jádrem CYKY 4x16 mm2</t>
  </si>
  <si>
    <t>928549290</t>
  </si>
  <si>
    <t>741132133</t>
  </si>
  <si>
    <t>Ukončení kabelů 4x16 mm2 smršťovací záklopkou nebo páskem bez letování</t>
  </si>
  <si>
    <t>1035654761</t>
  </si>
  <si>
    <t>741410041</t>
  </si>
  <si>
    <t>Montáž vodič uzemňovací drát nebo lano D do 10 mm v městské zástavbě</t>
  </si>
  <si>
    <t>-1689252153</t>
  </si>
  <si>
    <t>"do sloupů" 4*2</t>
  </si>
  <si>
    <t>354410730</t>
  </si>
  <si>
    <t>drát průměr 10 mm FeZn</t>
  </si>
  <si>
    <t>kg</t>
  </si>
  <si>
    <t>256</t>
  </si>
  <si>
    <t>189293087</t>
  </si>
  <si>
    <t>97*.62</t>
  </si>
  <si>
    <t>741420021</t>
  </si>
  <si>
    <t>Montáž svorka hromosvodná se 2 šrouby</t>
  </si>
  <si>
    <t>-1803181473</t>
  </si>
  <si>
    <t>354418850</t>
  </si>
  <si>
    <t>svorka spojovací SS pro lano D8-10 mm</t>
  </si>
  <si>
    <t>-891341475</t>
  </si>
  <si>
    <t>745904112</t>
  </si>
  <si>
    <t>Příplatek k montáži kabelů za zatažení vodiče a kabelu do 2,00 kg</t>
  </si>
  <si>
    <t>-1339172073</t>
  </si>
  <si>
    <t>C-21-sloupy</t>
  </si>
  <si>
    <t>Sloupy a svítidla</t>
  </si>
  <si>
    <t>210202016</t>
  </si>
  <si>
    <t>Montáž svítidel výbojkových průmyslových stropních závěsných parkových na sloupek</t>
  </si>
  <si>
    <t>1377508184</t>
  </si>
  <si>
    <t>210202016-D</t>
  </si>
  <si>
    <t>Demontáž svítidel výbojkových průmyslových stropních závěsných parkových na sloupek</t>
  </si>
  <si>
    <t>1948379586</t>
  </si>
  <si>
    <t>210204011</t>
  </si>
  <si>
    <t>Montáž stožárů osvětlení ocelových samostatně stojících délky do 12 m</t>
  </si>
  <si>
    <t>684142565</t>
  </si>
  <si>
    <t>722-JBS 10</t>
  </si>
  <si>
    <t>Výložníkový silniční stožár bezpaticovy   JBS10, oboust.zinkovaný</t>
  </si>
  <si>
    <t>ks</t>
  </si>
  <si>
    <t>128</t>
  </si>
  <si>
    <t>860041905</t>
  </si>
  <si>
    <t>210204011-M</t>
  </si>
  <si>
    <t>Demontáž stožárů osvětlení ocelových samostatně stojících délky do 12 m</t>
  </si>
  <si>
    <t>363939152</t>
  </si>
  <si>
    <t>210204103</t>
  </si>
  <si>
    <t>Montáž výložníků osvětlení jednoramenných sloupových hmotnosti do 35 kg</t>
  </si>
  <si>
    <t>-2109893039</t>
  </si>
  <si>
    <t>722-V1500</t>
  </si>
  <si>
    <t>Jednoduchý výložník pro stožár typu JB V1500, oboust.zinkovaný</t>
  </si>
  <si>
    <t>876511498</t>
  </si>
  <si>
    <t>210204103-M</t>
  </si>
  <si>
    <t>Demontáž výložníků osvětlení jednoramenných sloupových hmotnosti do 35 kg</t>
  </si>
  <si>
    <t>1009733240</t>
  </si>
  <si>
    <t>210204201</t>
  </si>
  <si>
    <t>Montáž elektrovýzbroje stožárů osvětlení 1 okruh</t>
  </si>
  <si>
    <t>2464948</t>
  </si>
  <si>
    <t>316722-EKM 2035-1</t>
  </si>
  <si>
    <t>stožár.svorkovice IP 43 - 1xE27</t>
  </si>
  <si>
    <t>1640479019</t>
  </si>
  <si>
    <t>34523415</t>
  </si>
  <si>
    <t>vložka pojistková E27 normální 2410 6A</t>
  </si>
  <si>
    <t>-540629140</t>
  </si>
  <si>
    <t>341110300</t>
  </si>
  <si>
    <t>kabel silový s Cu jádrem CYKY 3x1,5 mm2</t>
  </si>
  <si>
    <t>-1688340485</t>
  </si>
  <si>
    <t>3*12</t>
  </si>
  <si>
    <t>210280712</t>
  </si>
  <si>
    <t>Měření intenzity osvětlení na pracovišti do 50 svítidel</t>
  </si>
  <si>
    <t>soubor</t>
  </si>
  <si>
    <t>2019649594</t>
  </si>
  <si>
    <t>210950101-1</t>
  </si>
  <si>
    <t>Očíslování stožárů -správce VO (73,-Kč/světlené místo)</t>
  </si>
  <si>
    <t>-1911742520</t>
  </si>
  <si>
    <t>46-M</t>
  </si>
  <si>
    <t>Zemní práce při extr.mont.pracích - (viz situace a řezy)</t>
  </si>
  <si>
    <t>460010024</t>
  </si>
  <si>
    <t>Vytyčení trasy vedení kabelového podzemního v zastavěném prostoru viz řezy</t>
  </si>
  <si>
    <t>km</t>
  </si>
  <si>
    <t>-1318139268</t>
  </si>
  <si>
    <t>460010025</t>
  </si>
  <si>
    <t>Zaměření  trasy skutečného provedení v zastavěném prostoru</t>
  </si>
  <si>
    <t>-547735389</t>
  </si>
  <si>
    <t>460050703</t>
  </si>
  <si>
    <t>Hloubení nezapažených jam pro stožáry veřejného osvětlení ručně v hornině tř 3</t>
  </si>
  <si>
    <t>-1408087949</t>
  </si>
  <si>
    <t>-1129758723</t>
  </si>
  <si>
    <t>460080012</t>
  </si>
  <si>
    <t>Základové konstrukce z monolitického betonu C 8/10 bez bednění</t>
  </si>
  <si>
    <t>-1690645908</t>
  </si>
  <si>
    <t>3*.8*.8*1.2</t>
  </si>
  <si>
    <t>460080112</t>
  </si>
  <si>
    <t>Bourání základu betonového se záhozem jámy sypaninou</t>
  </si>
  <si>
    <t>1094147653</t>
  </si>
  <si>
    <t>3*.8*.8*1.5</t>
  </si>
  <si>
    <t>460161152</t>
  </si>
  <si>
    <t>Hloubení kabelových rýh ručně š 35 cm hl 60 cm v hornině tř I skupiny 3</t>
  </si>
  <si>
    <t>-266388153</t>
  </si>
  <si>
    <t>460200163</t>
  </si>
  <si>
    <t>Hloubení kabelových nezapažených rýh ručně š 35 cm, hl 80 cm, v hornině tř 3</t>
  </si>
  <si>
    <t>-123272815</t>
  </si>
  <si>
    <t>460200303</t>
  </si>
  <si>
    <t>Hloubení kabelových nezapažených rýh ručně š 50 cm, hl 120 cm, v hornině tř 3</t>
  </si>
  <si>
    <t>1901974360</t>
  </si>
  <si>
    <t>460230414</t>
  </si>
  <si>
    <t>Odkop zeminy ručně s vodorovným přemístěním do 50 m na skládku v hornině tř 3 a 4</t>
  </si>
  <si>
    <t>-1728206381</t>
  </si>
  <si>
    <t>460421082</t>
  </si>
  <si>
    <t>Lože kabelů z písku nebo štěrkopísku tl 5 cm nad kabel, kryté plastovou folií, š lože do 50 cm</t>
  </si>
  <si>
    <t>919557951</t>
  </si>
  <si>
    <t>460421082-1</t>
  </si>
  <si>
    <t>krytí plastovou folií, š do 50 cm</t>
  </si>
  <si>
    <t>1212576100</t>
  </si>
  <si>
    <t>460421101</t>
  </si>
  <si>
    <t>Lože kabelů z písku nebo štěrkopísku tl 10 cm nad kabel, bez zakrytí, šířky lože do 65 cm</t>
  </si>
  <si>
    <t>908686915</t>
  </si>
  <si>
    <t>460470001</t>
  </si>
  <si>
    <t>Provizorní zajištění potrubí ve výkopech při křížení s kabelem</t>
  </si>
  <si>
    <t>-763708303</t>
  </si>
  <si>
    <t>460470011</t>
  </si>
  <si>
    <t>Provizorní zajištění kabelů ve výkopech při jejich křížení</t>
  </si>
  <si>
    <t>943368796</t>
  </si>
  <si>
    <t>460510014</t>
  </si>
  <si>
    <t>Kabelové prostupy z trub betonových do rýhy s obsypem, průměru do 15 cm</t>
  </si>
  <si>
    <t>1026589827</t>
  </si>
  <si>
    <t>460510064</t>
  </si>
  <si>
    <t>Kabelové prostupy z trub plastových do rýhy s obsypem, průměru do 10 cm</t>
  </si>
  <si>
    <t>-678945865</t>
  </si>
  <si>
    <t>460560123</t>
  </si>
  <si>
    <t>Zásyp rýh ručně šířky 35 cm, hloubky 40 cm, z horniny třídy 3</t>
  </si>
  <si>
    <t>308095051</t>
  </si>
  <si>
    <t>460560143</t>
  </si>
  <si>
    <t>Zásyp rýh ručně šířky 35 cm, hloubky 60 cm, z horniny třídy 3</t>
  </si>
  <si>
    <t>-876851726</t>
  </si>
  <si>
    <t>460560273</t>
  </si>
  <si>
    <t>Zásyp rýh ručně šířky 50 cm, hloubky 90 cm, z horniny třídy 3</t>
  </si>
  <si>
    <t>1851628898</t>
  </si>
  <si>
    <t>460561801</t>
  </si>
  <si>
    <t>Zásyp rýh nebo jam strojně bez zhutnění ve volném terénu</t>
  </si>
  <si>
    <t>777593176</t>
  </si>
  <si>
    <t>460600021</t>
  </si>
  <si>
    <t>Vodorovné přemístění horniny jakékoliv třídy do 50 m</t>
  </si>
  <si>
    <t>-442003862</t>
  </si>
  <si>
    <t>"za písek v trase"  58*.35*.2+12*.5*.3</t>
  </si>
  <si>
    <t>"základy sloupů" 2.304-2.88</t>
  </si>
  <si>
    <t>460600031</t>
  </si>
  <si>
    <t>Příplatek k vodorovnému přemístění horniny za každých dalších 1000 m</t>
  </si>
  <si>
    <t>-1644548646</t>
  </si>
  <si>
    <t>5.284*15</t>
  </si>
  <si>
    <t>460600061</t>
  </si>
  <si>
    <t>Odvoz suti a vybouraných hmot do 1 km</t>
  </si>
  <si>
    <t>-1780315455</t>
  </si>
  <si>
    <t>2.88*2.5</t>
  </si>
  <si>
    <t>460600071</t>
  </si>
  <si>
    <t>Příplatek k odvozu suti a vybouraných hmot za každý další 1 km</t>
  </si>
  <si>
    <t>-1626061921</t>
  </si>
  <si>
    <t>7.2*15</t>
  </si>
  <si>
    <t>460600071-11.1</t>
  </si>
  <si>
    <t>-1227566536</t>
  </si>
  <si>
    <t>5.284*1.6</t>
  </si>
  <si>
    <t>460600071-12</t>
  </si>
  <si>
    <t>Poplatek za skládku suti</t>
  </si>
  <si>
    <t>-902307072</t>
  </si>
  <si>
    <t>460620013</t>
  </si>
  <si>
    <t>Provizorní úprava terénu se zhutněním, v hornině tř 3</t>
  </si>
  <si>
    <t>-1654424966</t>
  </si>
  <si>
    <t>55*.35*2+3*.35*3+12*.5*3</t>
  </si>
  <si>
    <t>TDI ul. K jezerům - Výmlatiště, VEŘEJNÉ OSVĚTLENÍ úsek A2+B+C+D</t>
  </si>
  <si>
    <t>SO 405.1-N.D - Přeložka VO - nové body - úsek D</t>
  </si>
  <si>
    <t>348444550-1</t>
  </si>
  <si>
    <t>svítidlo venkovní  M2A 70W viz situace</t>
  </si>
  <si>
    <t>-1171509717</t>
  </si>
  <si>
    <t>263771368</t>
  </si>
  <si>
    <t>-2067163213</t>
  </si>
  <si>
    <t>.8*.8*1.2</t>
  </si>
  <si>
    <t>-852983918</t>
  </si>
  <si>
    <t>1413228626</t>
  </si>
  <si>
    <t>.768*15</t>
  </si>
  <si>
    <t>-103691311</t>
  </si>
  <si>
    <t>.768*1.6</t>
  </si>
  <si>
    <t>SO 405.A.2.B - Rozvody VO - úsek A.2+B</t>
  </si>
  <si>
    <t>ZADL-Ch-Dl</t>
  </si>
  <si>
    <t>Zádlažba chodník dlažba</t>
  </si>
  <si>
    <t>460030031</t>
  </si>
  <si>
    <t>Rozebrání dlažeb ručně z kostek velkých do písku spáry nezalité</t>
  </si>
  <si>
    <t>805482073</t>
  </si>
  <si>
    <t>20*.55</t>
  </si>
  <si>
    <t>460030151</t>
  </si>
  <si>
    <t>Odstranění podkladu nebo krytu komunikace z kameniva drceného tloušťky do 10 cm</t>
  </si>
  <si>
    <t>857985308</t>
  </si>
  <si>
    <t>460030152</t>
  </si>
  <si>
    <t>Odstranění podkladu nebo krytu komunikace z kameniva drceného tloušťky do 20 cm</t>
  </si>
  <si>
    <t>-2086380485</t>
  </si>
  <si>
    <t>20*.35</t>
  </si>
  <si>
    <t>564201111</t>
  </si>
  <si>
    <t>Podklad nebo podsyp ze štěrkopísku ŠP tl 40 mm</t>
  </si>
  <si>
    <t>692660972</t>
  </si>
  <si>
    <t>564851111</t>
  </si>
  <si>
    <t>Podklad ze štěrkodrtě ŠD tl 150 mm</t>
  </si>
  <si>
    <t>-751504559</t>
  </si>
  <si>
    <t>596211110</t>
  </si>
  <si>
    <t>Kladení zámkové dlažby komunikací pro pěší tl 60 mm skupiny A pl do 50 m2</t>
  </si>
  <si>
    <t>-1762174370</t>
  </si>
  <si>
    <t>592452100</t>
  </si>
  <si>
    <t>Náhrada za poškozenou dlažbu 10%</t>
  </si>
  <si>
    <t>1073990696</t>
  </si>
  <si>
    <t>Práce a dodávky montáže</t>
  </si>
  <si>
    <t>210191502-D</t>
  </si>
  <si>
    <t>Demontáž skříní pojistkových tenkocementových přípojkových v pilíři SP 3 až 5/1</t>
  </si>
  <si>
    <t>-2030593897</t>
  </si>
  <si>
    <t>-1054140330</t>
  </si>
  <si>
    <t>-1730386502</t>
  </si>
  <si>
    <t>"trasa" 280+130</t>
  </si>
  <si>
    <t>"do sloupů" 10*3</t>
  </si>
  <si>
    <t>"do skříní" 12*1</t>
  </si>
  <si>
    <t>571464673</t>
  </si>
  <si>
    <t>"do sloupů" 10*5</t>
  </si>
  <si>
    <t>"do skříní" 12*2</t>
  </si>
  <si>
    <t>12986762</t>
  </si>
  <si>
    <t>741122225</t>
  </si>
  <si>
    <t>Montáž kabel Cu plný kulatý žíla 3x35+25 mm2, 4x35 mm2 uložený volně (např. CYKY)</t>
  </si>
  <si>
    <t>1145019475</t>
  </si>
  <si>
    <t>34111620</t>
  </si>
  <si>
    <t>kabel silový jádro Cu izolace PVC plášť PVC 0,6/1kV (1-CYKY) 4x35mm2</t>
  </si>
  <si>
    <t>1640473166</t>
  </si>
  <si>
    <t>13,9130434782609*1,15 'Přepočtené koeficientem množství</t>
  </si>
  <si>
    <t>2103668074</t>
  </si>
  <si>
    <t>741132135</t>
  </si>
  <si>
    <t>Ukončení kabelů 4x35 mm2 smršťovací záklopkou nebo páskem bez letování</t>
  </si>
  <si>
    <t>680550727</t>
  </si>
  <si>
    <t>-1726807313</t>
  </si>
  <si>
    <t>"do sloupů" 10*2</t>
  </si>
  <si>
    <t>"do skříní" 4*1</t>
  </si>
  <si>
    <t>107081303</t>
  </si>
  <si>
    <t>434*.62</t>
  </si>
  <si>
    <t>972942422</t>
  </si>
  <si>
    <t>-1688089181</t>
  </si>
  <si>
    <t>314287911</t>
  </si>
  <si>
    <t>210120102</t>
  </si>
  <si>
    <t>Montáž pojistkových patron nožových</t>
  </si>
  <si>
    <t>797254824</t>
  </si>
  <si>
    <t>35825222</t>
  </si>
  <si>
    <t>pojistka nožová 16A nízkoztrátová 1,70W, provedení normální, charakteristika gG</t>
  </si>
  <si>
    <t>2144995146</t>
  </si>
  <si>
    <t>358252280-1</t>
  </si>
  <si>
    <t>pojistka  zkratová</t>
  </si>
  <si>
    <t>570303331</t>
  </si>
  <si>
    <t>35825224</t>
  </si>
  <si>
    <t>pojistka nožová 20A nízkoztrátová 2,22W, provedení normální, charakteristika gG</t>
  </si>
  <si>
    <t>344735515</t>
  </si>
  <si>
    <t>35825252</t>
  </si>
  <si>
    <t>pojistka nožová 80A nízkoztrátová 6,70W, provedení normální, charakteristika gG</t>
  </si>
  <si>
    <t>994277814</t>
  </si>
  <si>
    <t>210191502</t>
  </si>
  <si>
    <t>Montáž skříní pojistkových tenkocementových přípojkových v pilíři SP 3 až 5/1</t>
  </si>
  <si>
    <t>-1538913411</t>
  </si>
  <si>
    <t>357117350-1</t>
  </si>
  <si>
    <t>skříň rozpojovací pro VO RF 5:3</t>
  </si>
  <si>
    <t>-1532683003</t>
  </si>
  <si>
    <t>357117350-3</t>
  </si>
  <si>
    <t>skříň rozpojovací pro VO RF 5:4</t>
  </si>
  <si>
    <t>1627712081</t>
  </si>
  <si>
    <t>210191516</t>
  </si>
  <si>
    <t>Montáž skříní pojistkových tenkocementových rozpojovacích v pilíři SR 3.1, 7.1, S/1, 1SRV 3/1</t>
  </si>
  <si>
    <t>-1644723186</t>
  </si>
  <si>
    <t>357R--RVO</t>
  </si>
  <si>
    <t>-578192689</t>
  </si>
  <si>
    <t>S-s</t>
  </si>
  <si>
    <t>-81849286</t>
  </si>
  <si>
    <t>"A2" 5</t>
  </si>
  <si>
    <t>"B" 8</t>
  </si>
  <si>
    <t>348Gu-S36-A1</t>
  </si>
  <si>
    <t>-586055427</t>
  </si>
  <si>
    <t>348Gu-S-41-A32</t>
  </si>
  <si>
    <t>-1907194186</t>
  </si>
  <si>
    <t>348Gu-XS-12-E3</t>
  </si>
  <si>
    <t>1050346383</t>
  </si>
  <si>
    <t>348Gu-XS-20-A1</t>
  </si>
  <si>
    <t>1807814483</t>
  </si>
  <si>
    <t>348NEMA7p</t>
  </si>
  <si>
    <t xml:space="preserve">řídící modul MSB-C </t>
  </si>
  <si>
    <t>-808209291</t>
  </si>
  <si>
    <t>665095978</t>
  </si>
  <si>
    <t>722-JB8</t>
  </si>
  <si>
    <t>Výložníkový silniční stožár bezpaticovy  JB8, oboust.zinkovaný, PVC manžeta</t>
  </si>
  <si>
    <t>2024531535</t>
  </si>
  <si>
    <t>722-JB8-Z</t>
  </si>
  <si>
    <t>Výložníkový silniční stožár bezpaticovy  JB8, zesílený oboust.zinkovaný, PVC manžeta</t>
  </si>
  <si>
    <t>-84079934</t>
  </si>
  <si>
    <t>1549802729</t>
  </si>
  <si>
    <t>722-V1000</t>
  </si>
  <si>
    <t>Jednoduchý výložník pro stožár typu JB V1000, oboust.zinkovaný</t>
  </si>
  <si>
    <t>629512471</t>
  </si>
  <si>
    <t>722-SV1500</t>
  </si>
  <si>
    <t>Jednoduchý výložník pro stožár typu JB - V1500, oboust.zinkovaný</t>
  </si>
  <si>
    <t>1353100695</t>
  </si>
  <si>
    <t>722-V2500</t>
  </si>
  <si>
    <t>Jednoduchý výložník pro stožár typu JB   V2500, oboust.zinkovaný</t>
  </si>
  <si>
    <t>461492850</t>
  </si>
  <si>
    <t>722-BM-SVP-1500</t>
  </si>
  <si>
    <t>Přidaný výložník na ocel.  sloup SVP 1500, oboust.zinkovaný</t>
  </si>
  <si>
    <t>1208729197</t>
  </si>
  <si>
    <t>210204105</t>
  </si>
  <si>
    <t>Montáž výložníků osvětlení dvouramenných sloupových hmotnosti do 70 kg</t>
  </si>
  <si>
    <t>-1166415096</t>
  </si>
  <si>
    <t>722-V2*1500</t>
  </si>
  <si>
    <t>Dvojitý výložník pro stožár typu JB   V2x1500, oboust.zinkovaný</t>
  </si>
  <si>
    <t>2074703397</t>
  </si>
  <si>
    <t>-1744131133</t>
  </si>
  <si>
    <t>-1846657536</t>
  </si>
  <si>
    <t>1777847928</t>
  </si>
  <si>
    <t>1005940161</t>
  </si>
  <si>
    <t>7*10</t>
  </si>
  <si>
    <t>210204202</t>
  </si>
  <si>
    <t>Montáž elektrovýzbroje stožárů osvětlení 2 okruhy</t>
  </si>
  <si>
    <t>-405431717</t>
  </si>
  <si>
    <t xml:space="preserve">316722-EKM 2072 </t>
  </si>
  <si>
    <t>stožár.svorkovice IP 43 - 2xE27</t>
  </si>
  <si>
    <t>805945786</t>
  </si>
  <si>
    <t>-1345592652</t>
  </si>
  <si>
    <t>353889804</t>
  </si>
  <si>
    <t>4*8+2*5</t>
  </si>
  <si>
    <t>-1006808641</t>
  </si>
  <si>
    <t>1332368734</t>
  </si>
  <si>
    <t>1594690521</t>
  </si>
  <si>
    <t>875036143</t>
  </si>
  <si>
    <t>1631140781</t>
  </si>
  <si>
    <t>1145115535</t>
  </si>
  <si>
    <t>10*.8*.8*1.2</t>
  </si>
  <si>
    <t>864936962</t>
  </si>
  <si>
    <t>-705859373</t>
  </si>
  <si>
    <t>2092469420</t>
  </si>
  <si>
    <t>1142962108</t>
  </si>
  <si>
    <t>-305122413</t>
  </si>
  <si>
    <t>1633857572</t>
  </si>
  <si>
    <t>559603437</t>
  </si>
  <si>
    <t>-1720773760</t>
  </si>
  <si>
    <t>306636680</t>
  </si>
  <si>
    <t>-1796098202</t>
  </si>
  <si>
    <t>-632857659</t>
  </si>
  <si>
    <t>-833605085</t>
  </si>
  <si>
    <t>-2107666665</t>
  </si>
  <si>
    <t>877659479</t>
  </si>
  <si>
    <t>-130775850</t>
  </si>
  <si>
    <t>230115995</t>
  </si>
  <si>
    <t>"písek v trase" (57+21)*.35*.2+140*.5*.3</t>
  </si>
  <si>
    <t>"základy sloupů" 7.68</t>
  </si>
  <si>
    <t>-247478516</t>
  </si>
  <si>
    <t>34.14*15</t>
  </si>
  <si>
    <t>-1514363447</t>
  </si>
  <si>
    <t>34.14*1.6</t>
  </si>
  <si>
    <t>-644317386</t>
  </si>
  <si>
    <t>57*.35*2+210*.35*3+140*.5*3</t>
  </si>
  <si>
    <t>SO 406.C - Rozvody VO - úsek C</t>
  </si>
  <si>
    <t>"trasa" 200</t>
  </si>
  <si>
    <t>"do sloupů" 7*3</t>
  </si>
  <si>
    <t>"do sloupů" 7*5</t>
  </si>
  <si>
    <t>"do sloupů" 7*1</t>
  </si>
  <si>
    <t>207*.62</t>
  </si>
  <si>
    <t>348Gu-XS-13-AB2</t>
  </si>
  <si>
    <t>1958707148</t>
  </si>
  <si>
    <t>348Gu-XS-15-A1</t>
  </si>
  <si>
    <t>-1947119811</t>
  </si>
  <si>
    <t>598671126</t>
  </si>
  <si>
    <t>210204002</t>
  </si>
  <si>
    <t>Montáž stožárů osvětlení parkových ocelových</t>
  </si>
  <si>
    <t>1311731816</t>
  </si>
  <si>
    <t>722-SB6</t>
  </si>
  <si>
    <t>Sadový stožár bezpaticovy SB6, oboust.zinkovaný</t>
  </si>
  <si>
    <t>-1743487528</t>
  </si>
  <si>
    <t>7*6</t>
  </si>
  <si>
    <t>-1335865100</t>
  </si>
  <si>
    <t>7*.6*.6*.9</t>
  </si>
  <si>
    <t>"písek v trase"  (147+40)*.35*.2+14*.5*.3</t>
  </si>
  <si>
    <t>"základy sloupů" 2.268</t>
  </si>
  <si>
    <t>17.458*15</t>
  </si>
  <si>
    <t>17.548*1.6</t>
  </si>
  <si>
    <t>147*.35*2+40*.35*3+14*.5*3</t>
  </si>
  <si>
    <t>SO 501.A.2  - Předimenzování stávajícího STL plynovodu</t>
  </si>
  <si>
    <t>1769973288</t>
  </si>
  <si>
    <t>1361045532</t>
  </si>
  <si>
    <t>-520672955</t>
  </si>
  <si>
    <t>113202111</t>
  </si>
  <si>
    <t>Vytrhání obrub krajníků obrubníků stojatých</t>
  </si>
  <si>
    <t>354187691</t>
  </si>
  <si>
    <t>132251253</t>
  </si>
  <si>
    <t>Hloubení rýh nezapažených š do 2000 mm v hornině třídy těžitelnosti I skupiny 3 objem do 100 m3 strojně</t>
  </si>
  <si>
    <t>2068966777</t>
  </si>
  <si>
    <t>-1649665100</t>
  </si>
  <si>
    <t>859586556</t>
  </si>
  <si>
    <t>29059418</t>
  </si>
  <si>
    <t>-1080179085</t>
  </si>
  <si>
    <t>-1316334490</t>
  </si>
  <si>
    <t>1644437396</t>
  </si>
  <si>
    <t>1069804525</t>
  </si>
  <si>
    <t>-1918258754</t>
  </si>
  <si>
    <t>1318791290</t>
  </si>
  <si>
    <t>1954100008</t>
  </si>
  <si>
    <t>1946916309</t>
  </si>
  <si>
    <t>2035276556</t>
  </si>
  <si>
    <t>1785790304</t>
  </si>
  <si>
    <t>296092602</t>
  </si>
  <si>
    <t>916131213</t>
  </si>
  <si>
    <t>Osazení silničního obrubníku betonového stojatého s boční opěrou do lože z betonu prostého</t>
  </si>
  <si>
    <t>986698364</t>
  </si>
  <si>
    <t>-983218583</t>
  </si>
  <si>
    <t>835362114</t>
  </si>
  <si>
    <t>-1066789015</t>
  </si>
  <si>
    <t>1459725431</t>
  </si>
  <si>
    <t>-1639834113</t>
  </si>
  <si>
    <t>Práce a dodávky PSV</t>
  </si>
  <si>
    <t>23-M</t>
  </si>
  <si>
    <t>Montáže potrubí</t>
  </si>
  <si>
    <t>230086115</t>
  </si>
  <si>
    <t>Demontáž plastového potrubí dn do 110 mm</t>
  </si>
  <si>
    <t>1371852437</t>
  </si>
  <si>
    <t>230200156r01</t>
  </si>
  <si>
    <t>730298636</t>
  </si>
  <si>
    <t>230200158r01</t>
  </si>
  <si>
    <t>1525985770</t>
  </si>
  <si>
    <t>230205021</t>
  </si>
  <si>
    <t>Montáž potrubí plastového svařované na tupo nebo elektrospojkou dn 25 mm en 3,0 mm</t>
  </si>
  <si>
    <t>-961933276</t>
  </si>
  <si>
    <t>28613911</t>
  </si>
  <si>
    <t>potrubí plynovodní PE 100RC SDR 11 PN 0,4MPa D 25</t>
  </si>
  <si>
    <t>-1274701121</t>
  </si>
  <si>
    <t>230205055</t>
  </si>
  <si>
    <t>Montáž potrubí plastového svařované na tupo nebo elektrospojkou dn 110 mm</t>
  </si>
  <si>
    <t>2128969665</t>
  </si>
  <si>
    <t>28613902</t>
  </si>
  <si>
    <t>potrubí plynovodní PE 100RC SDR 17,6 PN 0,1MPa tyče 12m 110x6,3mm</t>
  </si>
  <si>
    <t>-113903741</t>
  </si>
  <si>
    <t>230205221</t>
  </si>
  <si>
    <t>Montáž trubního dílu PE elektrotvarovky nebo svařovaného na tupo dn 25 mm en 2,7 mm</t>
  </si>
  <si>
    <t>466447718</t>
  </si>
  <si>
    <t>TMP.753911607</t>
  </si>
  <si>
    <t>Elektrospojka PE100/SDR11 d 25</t>
  </si>
  <si>
    <t>-2099298677</t>
  </si>
  <si>
    <t>230205255</t>
  </si>
  <si>
    <t>Montáž trubního dílu PE elektrotvarovky nebo svařovaného na tupo dn 110 mm en 6,2 mm</t>
  </si>
  <si>
    <t>1231895862</t>
  </si>
  <si>
    <t>NCL.616139</t>
  </si>
  <si>
    <t>d110, PE100, SDR11, koleno 11°, elektro</t>
  </si>
  <si>
    <t>-300339907</t>
  </si>
  <si>
    <t>28615975</t>
  </si>
  <si>
    <t>elektrospojka SDR11 PE 100 PN16 D 110mm</t>
  </si>
  <si>
    <t>-2042177122</t>
  </si>
  <si>
    <t>230208513</t>
  </si>
  <si>
    <t xml:space="preserve">Odplynění a inertizace stávajícího potrubí </t>
  </si>
  <si>
    <t>-1391267771</t>
  </si>
  <si>
    <t>230230016</t>
  </si>
  <si>
    <t>Hlavní tlaková zkouška vzduchem 0,6 MPa DN 50</t>
  </si>
  <si>
    <t>-289920280</t>
  </si>
  <si>
    <t>230230018</t>
  </si>
  <si>
    <t>Hlavní tlaková zkouška vzduchem 0,6 MPa DN 100</t>
  </si>
  <si>
    <t>-1148157395</t>
  </si>
  <si>
    <t xml:space="preserve">Geodetické práce před výstavbou - vytýčení stávajících sítí </t>
  </si>
  <si>
    <t>1291213540</t>
  </si>
  <si>
    <t>Geodetické práce po výstavbě - zaměření plynovodu dle požadavků GasNet</t>
  </si>
  <si>
    <t>489357274</t>
  </si>
  <si>
    <t>-1258563492</t>
  </si>
  <si>
    <t>-1039914655</t>
  </si>
  <si>
    <t>044003000</t>
  </si>
  <si>
    <t xml:space="preserve">Revize </t>
  </si>
  <si>
    <t>soub…</t>
  </si>
  <si>
    <t>1121396890</t>
  </si>
  <si>
    <t>TDI UL. K JEZERUM - VÝMLATIŠTĚ
SO 501.A.2  - Předimenzování stávajícího STL plynovodu</t>
  </si>
  <si>
    <t xml:space="preserve">SO 502, SO 503.A.2.B.C - Plynovod </t>
  </si>
  <si>
    <t>844729212</t>
  </si>
  <si>
    <t>2059263889</t>
  </si>
  <si>
    <t>-1329611553</t>
  </si>
  <si>
    <t>1771900286</t>
  </si>
  <si>
    <t>201436864</t>
  </si>
  <si>
    <t>-1333333227</t>
  </si>
  <si>
    <t>1458369629</t>
  </si>
  <si>
    <t>250318338</t>
  </si>
  <si>
    <t>-910173748</t>
  </si>
  <si>
    <t>-1142305551</t>
  </si>
  <si>
    <t>1226509851</t>
  </si>
  <si>
    <t>-2102044471</t>
  </si>
  <si>
    <t>-1610262746</t>
  </si>
  <si>
    <t>744651983</t>
  </si>
  <si>
    <t>1144927995</t>
  </si>
  <si>
    <t>81443474</t>
  </si>
  <si>
    <t>1681882620</t>
  </si>
  <si>
    <t>-583950126</t>
  </si>
  <si>
    <t>1534138629</t>
  </si>
  <si>
    <t>-1575949496</t>
  </si>
  <si>
    <t>814004129</t>
  </si>
  <si>
    <t>1207426882</t>
  </si>
  <si>
    <t>-1214895799</t>
  </si>
  <si>
    <t>1806192851</t>
  </si>
  <si>
    <t>-644887208</t>
  </si>
  <si>
    <t>723</t>
  </si>
  <si>
    <t>Zdravotechnika - vnitřní plynovod</t>
  </si>
  <si>
    <t>723231164</t>
  </si>
  <si>
    <t>763914240</t>
  </si>
  <si>
    <t>723231165</t>
  </si>
  <si>
    <t>Kohout kulový přímý G 1 1/4" PN 42 do 185°C plnoprůtokový vnitřní závit těžká řada</t>
  </si>
  <si>
    <t>260628423</t>
  </si>
  <si>
    <t>723234351r01</t>
  </si>
  <si>
    <t xml:space="preserve">Provizorní skříňka plastová pro HUP 600/600  vč. soklu - montáž a případná demontáž </t>
  </si>
  <si>
    <t>-2138683042</t>
  </si>
  <si>
    <t>72323R01</t>
  </si>
  <si>
    <t xml:space="preserve">Ukončení STL plynovodní přípojky - rám, přechod ocel/plast, ochranná trubka vč. pomocných prací a osazení </t>
  </si>
  <si>
    <t>822016267</t>
  </si>
  <si>
    <t>2000673645</t>
  </si>
  <si>
    <t>-184997010</t>
  </si>
  <si>
    <t>230205031</t>
  </si>
  <si>
    <t>Montáž potrubí plastového svařované na tupo nebo elektrospojkou dn 40 mm en 3,7 mm</t>
  </si>
  <si>
    <t>-769190898</t>
  </si>
  <si>
    <t>28613912</t>
  </si>
  <si>
    <t>potrubí plynovodní PE 100RC SDR 11 PN 0,4MPa D 40x3,7mm</t>
  </si>
  <si>
    <t>1190518902</t>
  </si>
  <si>
    <t>Montáž potrubí plastového svařované na tupo nebo elektrospojkou dn 110 mm en 6,3 mm</t>
  </si>
  <si>
    <t>1738705931</t>
  </si>
  <si>
    <t>-698721662</t>
  </si>
  <si>
    <t>230205125</t>
  </si>
  <si>
    <t>Montáž potrubí plastového svařovaného na tupo nebo elektrospojkou dn 160 mm en 9,1 mm - ochranná trubka</t>
  </si>
  <si>
    <t>899672870</t>
  </si>
  <si>
    <t>28613904</t>
  </si>
  <si>
    <t>potrubí plynovodní PE 100RC SDR 17,6 PN 0,1MPa tyče 12m 160x9,1mm</t>
  </si>
  <si>
    <t>-214883201</t>
  </si>
  <si>
    <t>230205231</t>
  </si>
  <si>
    <t>Montáž trubního dílu PE elektrotvarovky nebo svařovaného na tupo dn 40 mm en 3,6 mm</t>
  </si>
  <si>
    <t>-1495127499</t>
  </si>
  <si>
    <t>28653053</t>
  </si>
  <si>
    <t>elektrokoleno 90° PE 100 D 40mm</t>
  </si>
  <si>
    <t>-1348717522</t>
  </si>
  <si>
    <t>1094430664</t>
  </si>
  <si>
    <t>28614949</t>
  </si>
  <si>
    <t>elektrokoleno 45° PE 100 PN16 D 110mm</t>
  </si>
  <si>
    <t>299087288</t>
  </si>
  <si>
    <t>1435972106</t>
  </si>
  <si>
    <t>28614588</t>
  </si>
  <si>
    <t>elektrozáslepka SDR11 PE 100 PN16 D 110mm KIT</t>
  </si>
  <si>
    <t>-1295224044</t>
  </si>
  <si>
    <t>28614237</t>
  </si>
  <si>
    <t>koleno 15° SDR11 PE 100 PN16 D 110mm</t>
  </si>
  <si>
    <t>149322797</t>
  </si>
  <si>
    <t>28614961</t>
  </si>
  <si>
    <t>elektrotvarovka T-kus rovnoramenný PE 100 PN16 D 110mm</t>
  </si>
  <si>
    <t>1556347833</t>
  </si>
  <si>
    <t>230220006</t>
  </si>
  <si>
    <t>Montáž litinového poklopu</t>
  </si>
  <si>
    <t>-1637309894</t>
  </si>
  <si>
    <t>AVK.7216P</t>
  </si>
  <si>
    <t>1535545915</t>
  </si>
  <si>
    <t>416533020</t>
  </si>
  <si>
    <t>1532746459</t>
  </si>
  <si>
    <t>-1748629821</t>
  </si>
  <si>
    <t>1239923599</t>
  </si>
  <si>
    <t>1652570902</t>
  </si>
  <si>
    <t>2105327000</t>
  </si>
  <si>
    <t>44844625</t>
  </si>
  <si>
    <t xml:space="preserve">TDI UL. K JEZERUM - VÝMLATIŠTĚ
SO 502, SO 503.A.2.B.C - Plynovod </t>
  </si>
  <si>
    <r>
      <t xml:space="preserve">Popis prací a dodávek včetně ocenění stavebního objektu
</t>
    </r>
    <r>
      <rPr>
        <b/>
        <sz val="14"/>
        <rFont val="Arial CE"/>
        <family val="2"/>
      </rPr>
      <t>SO 801.A.2.B.C.D - Terénní a sadové úpravy</t>
    </r>
  </si>
  <si>
    <t>Poř.                 č.                    pol.</t>
  </si>
  <si>
    <t>Číslo položky              ceníku</t>
  </si>
  <si>
    <t>Zkrácený popis</t>
  </si>
  <si>
    <t>Měr.                 jed.</t>
  </si>
  <si>
    <t>Cena v Kč</t>
  </si>
  <si>
    <t>Hmotnost</t>
  </si>
  <si>
    <t>jedn.</t>
  </si>
  <si>
    <t>celkem</t>
  </si>
  <si>
    <t>jedn. t</t>
  </si>
  <si>
    <t>celkem t</t>
  </si>
  <si>
    <t>dodávka</t>
  </si>
  <si>
    <t>montáž</t>
  </si>
  <si>
    <t>800-1</t>
  </si>
  <si>
    <r>
      <t>16 - Přemístění výkopku –</t>
    </r>
    <r>
      <rPr>
        <i/>
        <u val="single"/>
        <sz val="10"/>
        <rFont val="Arial CE"/>
        <family val="2"/>
      </rPr>
      <t xml:space="preserve"> ohumusování </t>
    </r>
  </si>
  <si>
    <t>pro založení trávniku, pro výměnu půdy u stromů</t>
  </si>
  <si>
    <r>
      <t>Celkem = (2640+380+88+210) x 0,15 =497,7 m</t>
    </r>
    <r>
      <rPr>
        <i/>
        <vertAlign val="superscript"/>
        <sz val="10"/>
        <rFont val="Arial CE"/>
        <family val="2"/>
      </rPr>
      <t xml:space="preserve"> 3 </t>
    </r>
    <r>
      <rPr>
        <i/>
        <sz val="10"/>
        <rFont val="Arial CE"/>
        <family val="2"/>
      </rPr>
      <t xml:space="preserve">+ 11 x 0,25 </t>
    </r>
    <r>
      <rPr>
        <i/>
        <sz val="10"/>
        <color indexed="8"/>
        <rFont val="Arial CE"/>
        <family val="2"/>
      </rPr>
      <t>m</t>
    </r>
    <r>
      <rPr>
        <i/>
        <vertAlign val="superscript"/>
        <sz val="10"/>
        <color indexed="8"/>
        <rFont val="Arial CE"/>
        <family val="2"/>
      </rPr>
      <t xml:space="preserve"> 3 </t>
    </r>
    <r>
      <rPr>
        <i/>
        <sz val="10"/>
        <color indexed="8"/>
        <rFont val="Arial CE"/>
        <family val="2"/>
      </rPr>
      <t>+ 2x 0,15 m</t>
    </r>
    <r>
      <rPr>
        <i/>
        <vertAlign val="superscript"/>
        <sz val="10"/>
        <color indexed="8"/>
        <rFont val="Arial CE"/>
        <family val="2"/>
      </rPr>
      <t xml:space="preserve"> 3 </t>
    </r>
    <r>
      <rPr>
        <i/>
        <sz val="10"/>
        <rFont val="Arial CE"/>
        <family val="2"/>
      </rPr>
      <t xml:space="preserve"> = 500,75 m</t>
    </r>
    <r>
      <rPr>
        <i/>
        <vertAlign val="superscript"/>
        <sz val="10"/>
        <rFont val="Arial CE"/>
        <family val="2"/>
      </rPr>
      <t xml:space="preserve"> 3 </t>
    </r>
  </si>
  <si>
    <t>Vodorovné přemístění výkopku po suchu na obvyklém dopravním prostředku,</t>
  </si>
  <si>
    <r>
      <t>m</t>
    </r>
    <r>
      <rPr>
        <vertAlign val="superscript"/>
        <sz val="10"/>
        <rFont val="Arial CE"/>
        <family val="2"/>
      </rPr>
      <t>3</t>
    </r>
  </si>
  <si>
    <t>se složením, z horniny tř. 1-3, na vzdálenost do 10000 m,</t>
  </si>
  <si>
    <t xml:space="preserve">Příplatek k vodorovnému přemístění výkopku/sypaniny z horniny třídy </t>
  </si>
  <si>
    <t>těžitelnosti I skupiny 1 až 3 ZKD 1000 m přes 10000 m</t>
  </si>
  <si>
    <r>
      <t>Nakládání neulehlého výkopku v množství přes 100 m</t>
    </r>
    <r>
      <rPr>
        <vertAlign val="superscript"/>
        <sz val="10"/>
        <rFont val="Arial CE"/>
        <family val="2"/>
      </rPr>
      <t>3</t>
    </r>
    <r>
      <rPr>
        <sz val="11"/>
        <color theme="1"/>
        <rFont val="Calibri"/>
        <family val="2"/>
        <scheme val="minor"/>
      </rPr>
      <t>, z hornin tř. 1-4</t>
    </r>
  </si>
  <si>
    <t>Celkem přemístění výkopku</t>
  </si>
  <si>
    <t>823-1</t>
  </si>
  <si>
    <t>18 Povrchové úpravy terénu</t>
  </si>
  <si>
    <r>
      <t>Rozprostření a urovnání ornice v rovině nebo na svahu do 1:5 při ploše do 500 m</t>
    </r>
    <r>
      <rPr>
        <vertAlign val="superscript"/>
        <sz val="10"/>
        <rFont val="Arial CE"/>
        <family val="2"/>
      </rPr>
      <t>2</t>
    </r>
  </si>
  <si>
    <r>
      <t>m</t>
    </r>
    <r>
      <rPr>
        <vertAlign val="superscript"/>
        <sz val="10"/>
        <rFont val="Arial CE"/>
        <family val="2"/>
      </rPr>
      <t>2</t>
    </r>
  </si>
  <si>
    <t xml:space="preserve">tl. vrstvy do 200 </t>
  </si>
  <si>
    <r>
      <t>15 cm na plochy trávníků v rovině (2640+88)   = 2728 m</t>
    </r>
    <r>
      <rPr>
        <i/>
        <vertAlign val="superscript"/>
        <sz val="10"/>
        <rFont val="Arial CE"/>
        <family val="2"/>
      </rPr>
      <t>2</t>
    </r>
  </si>
  <si>
    <r>
      <t>Rozprostření a urovnání ornice na svahu do 1:1 při ploše do 500 m</t>
    </r>
    <r>
      <rPr>
        <vertAlign val="superscript"/>
        <sz val="10"/>
        <rFont val="Arial CE"/>
        <family val="2"/>
      </rPr>
      <t>2</t>
    </r>
  </si>
  <si>
    <r>
      <t>15 cm na plochy trávníků ve svahu (380 +210) = 590 m</t>
    </r>
    <r>
      <rPr>
        <i/>
        <vertAlign val="superscript"/>
        <sz val="10"/>
        <rFont val="Arial CE"/>
        <family val="2"/>
      </rPr>
      <t>2</t>
    </r>
  </si>
  <si>
    <t>184813511</t>
  </si>
  <si>
    <t xml:space="preserve">Chemické odplevelení půdy před založením kultury 1x </t>
  </si>
  <si>
    <t>plochy trávníků (2640+380+88+210) = 3318m2</t>
  </si>
  <si>
    <r>
      <t xml:space="preserve">Specifikace </t>
    </r>
    <r>
      <rPr>
        <b/>
        <u val="single"/>
        <sz val="10"/>
        <rFont val="Arial CE"/>
        <family val="2"/>
      </rPr>
      <t>herbicidu</t>
    </r>
    <r>
      <rPr>
        <u val="single"/>
        <sz val="10"/>
        <rFont val="Arial CE"/>
        <family val="2"/>
      </rPr>
      <t xml:space="preserve"> k pol.  2:</t>
    </r>
  </si>
  <si>
    <t>koncentrace roztoku 2 %, tj. 15 ml přípravku/ 1 l vody</t>
  </si>
  <si>
    <r>
      <t>aplikace 0,3 l roztoku na 1 m</t>
    </r>
    <r>
      <rPr>
        <i/>
        <vertAlign val="superscript"/>
        <sz val="9"/>
        <rFont val="Arial CE"/>
        <family val="2"/>
      </rPr>
      <t>2</t>
    </r>
    <r>
      <rPr>
        <i/>
        <sz val="9"/>
        <rFont val="Arial CE"/>
        <family val="2"/>
      </rPr>
      <t>plochy</t>
    </r>
  </si>
  <si>
    <r>
      <t>3318m</t>
    </r>
    <r>
      <rPr>
        <i/>
        <vertAlign val="superscript"/>
        <sz val="10"/>
        <rFont val="Arial CE"/>
        <family val="2"/>
      </rPr>
      <t>2</t>
    </r>
    <r>
      <rPr>
        <i/>
        <sz val="10"/>
        <rFont val="Arial CE"/>
        <family val="2"/>
      </rPr>
      <t xml:space="preserve"> x 0,3 l/m</t>
    </r>
    <r>
      <rPr>
        <i/>
        <vertAlign val="superscript"/>
        <sz val="10"/>
        <rFont val="Arial CE"/>
        <family val="2"/>
      </rPr>
      <t>2</t>
    </r>
    <r>
      <rPr>
        <i/>
        <sz val="10"/>
        <rFont val="Arial CE"/>
        <family val="2"/>
      </rPr>
      <t xml:space="preserve"> roztoku = 995,4l roztoku x 0,02 =19,90 l</t>
    </r>
  </si>
  <si>
    <t>lit</t>
  </si>
  <si>
    <t>ztratné 3%</t>
  </si>
  <si>
    <t>183403113</t>
  </si>
  <si>
    <r>
      <t xml:space="preserve">Obdělání půdy frézováním </t>
    </r>
    <r>
      <rPr>
        <b/>
        <sz val="10"/>
        <rFont val="Arial CE"/>
        <family val="2"/>
      </rPr>
      <t>v rovině</t>
    </r>
    <r>
      <rPr>
        <sz val="11"/>
        <color theme="1"/>
        <rFont val="Calibri"/>
        <family val="2"/>
        <scheme val="minor"/>
      </rPr>
      <t xml:space="preserve"> nebo na svahu do 1:5, </t>
    </r>
  </si>
  <si>
    <r>
      <t>na plochy trávníků v rovině (2640+88)   = 2728 m</t>
    </r>
    <r>
      <rPr>
        <i/>
        <vertAlign val="superscript"/>
        <sz val="10"/>
        <rFont val="Arial CE"/>
        <family val="2"/>
      </rPr>
      <t>2</t>
    </r>
  </si>
  <si>
    <t>183403311</t>
  </si>
  <si>
    <t xml:space="preserve">Obdělání půdy nakopáním nebo na svahu do 1:1, </t>
  </si>
  <si>
    <r>
      <t>na plochy trávníků ve svahu (380 +210) = 590 m</t>
    </r>
    <r>
      <rPr>
        <i/>
        <vertAlign val="superscript"/>
        <sz val="10"/>
        <rFont val="Arial CE"/>
        <family val="2"/>
      </rPr>
      <t>2</t>
    </r>
  </si>
  <si>
    <t>183403153</t>
  </si>
  <si>
    <r>
      <t xml:space="preserve">Obdělání půdy hrabáním </t>
    </r>
    <r>
      <rPr>
        <b/>
        <sz val="10"/>
        <rFont val="Arial CE"/>
        <family val="2"/>
      </rPr>
      <t>v rovině</t>
    </r>
    <r>
      <rPr>
        <sz val="11"/>
        <color theme="1"/>
        <rFont val="Calibri"/>
        <family val="2"/>
        <scheme val="minor"/>
      </rPr>
      <t xml:space="preserve"> nebo na svahu do 1:5</t>
    </r>
  </si>
  <si>
    <t>183403353</t>
  </si>
  <si>
    <t>Obdělání půdy hrabáním na svahu do 1:1</t>
  </si>
  <si>
    <t xml:space="preserve">Hloubení jamek pro výsadbu rostlin v zemině tř. 1-4, </t>
  </si>
  <si>
    <r>
      <t xml:space="preserve">v rovině, objemu </t>
    </r>
    <r>
      <rPr>
        <b/>
        <sz val="10"/>
        <rFont val="Arial CE"/>
        <family val="2"/>
      </rPr>
      <t>do 0,4 m</t>
    </r>
    <r>
      <rPr>
        <b/>
        <vertAlign val="superscript"/>
        <sz val="10"/>
        <rFont val="Arial CE"/>
        <family val="2"/>
      </rPr>
      <t>3</t>
    </r>
    <r>
      <rPr>
        <sz val="11"/>
        <color theme="1"/>
        <rFont val="Calibri"/>
        <family val="2"/>
        <scheme val="minor"/>
      </rPr>
      <t>,</t>
    </r>
    <r>
      <rPr>
        <i/>
        <sz val="10"/>
        <rFont val="Arial CE"/>
        <family val="2"/>
      </rPr>
      <t xml:space="preserve"> listnaté keře</t>
    </r>
    <r>
      <rPr>
        <b/>
        <sz val="10"/>
        <color indexed="8"/>
        <rFont val="Arial CE"/>
        <family val="2"/>
      </rPr>
      <t xml:space="preserve">  s výměnou půdy na 50%</t>
    </r>
  </si>
  <si>
    <t>zapěstované vícekmenné keře = celkem 2</t>
  </si>
  <si>
    <r>
      <t xml:space="preserve">Hloubení jamek pro výsadbu rostlin v zemině tř. 1-4, </t>
    </r>
    <r>
      <rPr>
        <b/>
        <sz val="10"/>
        <rFont val="Arial CE"/>
        <family val="2"/>
      </rPr>
      <t>s výměnou půdy na 50%</t>
    </r>
  </si>
  <si>
    <r>
      <t xml:space="preserve">v rovině, objemu </t>
    </r>
    <r>
      <rPr>
        <b/>
        <sz val="10"/>
        <rFont val="Arial CE"/>
        <family val="2"/>
      </rPr>
      <t>do 1,00 m</t>
    </r>
    <r>
      <rPr>
        <b/>
        <vertAlign val="superscript"/>
        <sz val="10"/>
        <rFont val="Arial CE"/>
        <family val="2"/>
      </rPr>
      <t>3</t>
    </r>
    <r>
      <rPr>
        <sz val="11"/>
        <color theme="1"/>
        <rFont val="Calibri"/>
        <family val="2"/>
        <scheme val="minor"/>
      </rPr>
      <t xml:space="preserve">, </t>
    </r>
    <r>
      <rPr>
        <i/>
        <sz val="10"/>
        <rFont val="Arial CE"/>
        <family val="2"/>
      </rPr>
      <t>stromy v rovině 11 ks</t>
    </r>
  </si>
  <si>
    <t>184102114</t>
  </si>
  <si>
    <r>
      <t xml:space="preserve">Výsadba dřeviny s balem </t>
    </r>
    <r>
      <rPr>
        <b/>
        <sz val="10"/>
        <rFont val="Arial CE"/>
        <family val="2"/>
      </rPr>
      <t xml:space="preserve">v rovině </t>
    </r>
    <r>
      <rPr>
        <sz val="11"/>
        <color theme="1"/>
        <rFont val="Calibri"/>
        <family val="2"/>
        <scheme val="minor"/>
      </rPr>
      <t>nebo svahu do 1:5, při Ø balu do 500</t>
    </r>
    <r>
      <rPr>
        <b/>
        <sz val="10"/>
        <rFont val="Arial CE"/>
        <family val="2"/>
      </rPr>
      <t xml:space="preserve"> mm</t>
    </r>
  </si>
  <si>
    <r>
      <t>Výsadba dřeviny s balem do předem vyhloubené jamky se zalitím</t>
    </r>
    <r>
      <rPr>
        <b/>
        <sz val="10"/>
        <rFont val="Arial CE"/>
        <family val="2"/>
      </rPr>
      <t xml:space="preserve"> v rovině </t>
    </r>
  </si>
  <si>
    <r>
      <t>do 1:5, při Ø balu přes 600 do 8</t>
    </r>
    <r>
      <rPr>
        <b/>
        <sz val="10"/>
        <rFont val="Arial CE"/>
        <family val="2"/>
      </rPr>
      <t>00 mm</t>
    </r>
    <r>
      <rPr>
        <sz val="11"/>
        <color theme="1"/>
        <rFont val="Calibri"/>
        <family val="2"/>
        <scheme val="minor"/>
      </rPr>
      <t xml:space="preserve">, </t>
    </r>
    <r>
      <rPr>
        <i/>
        <sz val="10"/>
        <rFont val="Arial CE"/>
        <family val="2"/>
      </rPr>
      <t>stromy v rovině = celkem 11 ks</t>
    </r>
  </si>
  <si>
    <t>184215412</t>
  </si>
  <si>
    <t>Zhotovení závlahové mísy, Ø mísy do 100 mm</t>
  </si>
  <si>
    <t>listnatý strom + zapěstovaný keř 11 + 2 = 13 ks</t>
  </si>
  <si>
    <t>184215133</t>
  </si>
  <si>
    <t>Ukotvení dřeviny třemi kůly, v rovině</t>
  </si>
  <si>
    <t>listnatý strom = 11 ks</t>
  </si>
  <si>
    <t>184215113</t>
  </si>
  <si>
    <t>Ukotvení dřeviny jedním kůlem, v rovině</t>
  </si>
  <si>
    <r>
      <t>Specifikace travního osiva</t>
    </r>
    <r>
      <rPr>
        <sz val="10"/>
        <color indexed="58"/>
        <rFont val="Arial CE"/>
        <family val="2"/>
      </rPr>
      <t xml:space="preserve"> - trávník pro suchá stanoviště</t>
    </r>
  </si>
  <si>
    <r>
      <t>plocha trávníku =  3020 x 0,035 kg travního osiva /m</t>
    </r>
    <r>
      <rPr>
        <i/>
        <vertAlign val="superscript"/>
        <sz val="8"/>
        <rFont val="Arial CE"/>
        <family val="2"/>
      </rPr>
      <t>2</t>
    </r>
    <r>
      <rPr>
        <i/>
        <sz val="8"/>
        <rFont val="Arial CE"/>
        <family val="2"/>
      </rPr>
      <t>,105,7 kg</t>
    </r>
  </si>
  <si>
    <r>
      <t>Specifikace travního osiva</t>
    </r>
    <r>
      <rPr>
        <sz val="10"/>
        <color indexed="58"/>
        <rFont val="Arial CE"/>
        <family val="2"/>
      </rPr>
      <t xml:space="preserve"> - kvetoucí trávník pro suchá stanoviště</t>
    </r>
  </si>
  <si>
    <r>
      <t>plocha trávníku =  298 x 0,015 kg travního osiva /m</t>
    </r>
    <r>
      <rPr>
        <i/>
        <vertAlign val="superscript"/>
        <sz val="8"/>
        <rFont val="Arial CE"/>
        <family val="2"/>
      </rPr>
      <t>2</t>
    </r>
    <r>
      <rPr>
        <i/>
        <sz val="8"/>
        <rFont val="Arial CE"/>
        <family val="2"/>
      </rPr>
      <t>,  4,47kg</t>
    </r>
  </si>
  <si>
    <t>181411131</t>
  </si>
  <si>
    <t xml:space="preserve">Založení trávníku výsevem parkové travní směsi,  v rovině nebo do 1:5   </t>
  </si>
  <si>
    <r>
      <t>plochy do 1000 m</t>
    </r>
    <r>
      <rPr>
        <vertAlign val="superscript"/>
        <sz val="10"/>
        <rFont val="Arial CE"/>
        <family val="2"/>
      </rPr>
      <t>2</t>
    </r>
    <r>
      <rPr>
        <i/>
        <sz val="10"/>
        <rFont val="Arial CE"/>
        <family val="2"/>
      </rPr>
      <t>, plochy trávníků parkového  v rovině celkem = 2640 m</t>
    </r>
    <r>
      <rPr>
        <i/>
        <vertAlign val="superscript"/>
        <sz val="10"/>
        <color indexed="8"/>
        <rFont val="Arial CE"/>
        <family val="2"/>
      </rPr>
      <t>2</t>
    </r>
  </si>
  <si>
    <t>181411133</t>
  </si>
  <si>
    <t xml:space="preserve">Založení trávníku výsevem parkové travní směsi,  do 1:1   </t>
  </si>
  <si>
    <r>
      <t>plochy do 1000 m</t>
    </r>
    <r>
      <rPr>
        <vertAlign val="superscript"/>
        <sz val="10"/>
        <rFont val="Arial CE"/>
        <family val="2"/>
      </rPr>
      <t>2</t>
    </r>
    <r>
      <rPr>
        <i/>
        <sz val="10"/>
        <rFont val="Arial CE"/>
        <family val="2"/>
      </rPr>
      <t>, plochy  trávníku parkového  ve  svahu = 380 m</t>
    </r>
    <r>
      <rPr>
        <i/>
        <vertAlign val="superscript"/>
        <sz val="10"/>
        <rFont val="Arial CE"/>
        <family val="2"/>
      </rPr>
      <t xml:space="preserve">2 </t>
    </r>
  </si>
  <si>
    <r>
      <t>plochy do 1000 m</t>
    </r>
    <r>
      <rPr>
        <vertAlign val="superscript"/>
        <sz val="10"/>
        <rFont val="Arial CE"/>
        <family val="2"/>
      </rPr>
      <t>2</t>
    </r>
    <r>
      <rPr>
        <i/>
        <sz val="10"/>
        <rFont val="Arial CE"/>
        <family val="2"/>
      </rPr>
      <t>, kvetoucí trávník – pruleh = 88 m</t>
    </r>
    <r>
      <rPr>
        <i/>
        <vertAlign val="superscript"/>
        <sz val="10"/>
        <rFont val="Arial CE"/>
        <family val="2"/>
      </rPr>
      <t xml:space="preserve">2 </t>
    </r>
  </si>
  <si>
    <t xml:space="preserve">Založení trávníku výsevem parkové travní směsi,  v rovině nebo do 1:1   </t>
  </si>
  <si>
    <r>
      <t>plochy do 1000 m</t>
    </r>
    <r>
      <rPr>
        <vertAlign val="superscript"/>
        <sz val="10"/>
        <rFont val="Arial CE"/>
        <family val="2"/>
      </rPr>
      <t>2</t>
    </r>
    <r>
      <rPr>
        <i/>
        <sz val="10"/>
        <rFont val="Arial CE"/>
        <family val="2"/>
      </rPr>
      <t>, kvetoucí trávník – pruleh = 210 m2</t>
    </r>
  </si>
  <si>
    <t>183403161</t>
  </si>
  <si>
    <t>Obdělání půdy válením v rovině nebo na svahu do 1:5</t>
  </si>
  <si>
    <t>183403371</t>
  </si>
  <si>
    <t>Obdělání půdy dusáním v rovině nebo na svahu do 1:1</t>
  </si>
  <si>
    <t>184911421</t>
  </si>
  <si>
    <t>Mulčování rostlin kůrou tl. do 0,1 m v rovině a svahu do 1:5</t>
  </si>
  <si>
    <t>1 m2/ listnaté stromy v trávníku 11 x 1 m2 + solitérní keře 2 x 1 m2</t>
  </si>
  <si>
    <t>Specifikace mulčovací kůry k pol.31</t>
  </si>
  <si>
    <t>tloušťka vrstvy mulčování  10 cm</t>
  </si>
  <si>
    <r>
      <t>plocha mulčování 13 m</t>
    </r>
    <r>
      <rPr>
        <i/>
        <vertAlign val="superscript"/>
        <sz val="10"/>
        <rFont val="Arial CE"/>
        <family val="2"/>
      </rPr>
      <t>2</t>
    </r>
    <r>
      <rPr>
        <i/>
        <sz val="10"/>
        <rFont val="Arial CE"/>
        <family val="2"/>
      </rPr>
      <t>x 0,1 =1,3 m3</t>
    </r>
  </si>
  <si>
    <t>185802113</t>
  </si>
  <si>
    <r>
      <t>Hnojení půdy nebo trávníku v rovině</t>
    </r>
    <r>
      <rPr>
        <b/>
        <sz val="10"/>
        <rFont val="Arial CE"/>
        <family val="2"/>
      </rPr>
      <t xml:space="preserve"> </t>
    </r>
    <r>
      <rPr>
        <sz val="11"/>
        <color theme="1"/>
        <rFont val="Calibri"/>
        <family val="2"/>
        <scheme val="minor"/>
      </rPr>
      <t>nebo na sv. do 1:5 uměl. hnojivem na široko</t>
    </r>
  </si>
  <si>
    <t xml:space="preserve">přidání půdního kondicionéru do zahrad. substrátu </t>
  </si>
  <si>
    <t>v jamkách pro stromy</t>
  </si>
  <si>
    <t>viz specifikaci půd. kondicionéru - pol. 31</t>
  </si>
  <si>
    <r>
      <t>Specifikace půdního kondicionéru</t>
    </r>
    <r>
      <rPr>
        <sz val="11"/>
        <color theme="1"/>
        <rFont val="Calibri"/>
        <family val="2"/>
        <scheme val="minor"/>
      </rPr>
      <t xml:space="preserve"> k pol. 30</t>
    </r>
  </si>
  <si>
    <t>0,25 kg půdního kondicionéru na výsadbovou jámu</t>
  </si>
  <si>
    <t>0,25 x13 ks = 6,5 kg</t>
  </si>
  <si>
    <t xml:space="preserve">ztratné 3%                     </t>
  </si>
  <si>
    <t>184801121</t>
  </si>
  <si>
    <t>Ošetření vysazených dřevin solitérních v rovině nebo na svahu do 1:5</t>
  </si>
  <si>
    <t>listnaté stromy + keře 11 + 2 = 13</t>
  </si>
  <si>
    <t>185802114</t>
  </si>
  <si>
    <r>
      <t xml:space="preserve">Hnojení půdy nebo trávníku </t>
    </r>
    <r>
      <rPr>
        <b/>
        <sz val="10"/>
        <rFont val="Arial CE"/>
        <family val="2"/>
      </rPr>
      <t>v rovině</t>
    </r>
    <r>
      <rPr>
        <sz val="11"/>
        <color theme="1"/>
        <rFont val="Calibri"/>
        <family val="2"/>
        <scheme val="minor"/>
      </rPr>
      <t xml:space="preserve"> nebo na svahu do 1:5 umělým hnojivem </t>
    </r>
  </si>
  <si>
    <r>
      <t>s rozdělením k jednotlivým rostlinám,</t>
    </r>
    <r>
      <rPr>
        <i/>
        <sz val="10"/>
        <rFont val="Arial CE"/>
        <family val="2"/>
      </rPr>
      <t xml:space="preserve"> výpočet viz.pol. 34</t>
    </r>
  </si>
  <si>
    <t>Specifikace umělého hnojiva k pol. 33</t>
  </si>
  <si>
    <t>hnojivo tabletové á 10 gr/tableta, zásobní</t>
  </si>
  <si>
    <t>15 ks tablet/1 strom = 11 x 15 = 165 tablet x 10g=1650g=1,65 kg</t>
  </si>
  <si>
    <t>10 ks tablet/1 keř = 2 x 10  = 20 tablet x 10g=200g=0,2 kg</t>
  </si>
  <si>
    <t>Následná péče – trávník 1 rok</t>
  </si>
  <si>
    <t xml:space="preserve">Pokosení trávníku parkového pl do 1000 m2 s odvozem  v rovině a svahu do 1:5 </t>
  </si>
  <si>
    <r>
      <t>šest sečí 6 x 380m</t>
    </r>
    <r>
      <rPr>
        <i/>
        <vertAlign val="superscript"/>
        <sz val="10"/>
        <color indexed="8"/>
        <rFont val="Arial CE"/>
        <family val="2"/>
      </rPr>
      <t xml:space="preserve">2  </t>
    </r>
    <r>
      <rPr>
        <i/>
        <sz val="10"/>
        <color indexed="8"/>
        <rFont val="Arial CE"/>
        <family val="2"/>
      </rPr>
      <t>=15840m</t>
    </r>
    <r>
      <rPr>
        <i/>
        <vertAlign val="superscript"/>
        <sz val="10"/>
        <color indexed="8"/>
        <rFont val="Arial CE"/>
        <family val="2"/>
      </rPr>
      <t xml:space="preserve">2  </t>
    </r>
  </si>
  <si>
    <t xml:space="preserve">Pokosení trávníku parkového pl do 1000 m2 s odvozem ve svahu přes 1:2 do 1:1 </t>
  </si>
  <si>
    <r>
      <t>pruleh 2 x seč = 2 x 320 m</t>
    </r>
    <r>
      <rPr>
        <i/>
        <vertAlign val="superscript"/>
        <sz val="10"/>
        <rFont val="Arial CE"/>
        <family val="2"/>
      </rPr>
      <t xml:space="preserve">2 </t>
    </r>
    <r>
      <rPr>
        <i/>
        <sz val="10"/>
        <color indexed="8"/>
        <rFont val="Arial CE"/>
        <family val="2"/>
      </rPr>
      <t>= 2280 m</t>
    </r>
    <r>
      <rPr>
        <i/>
        <vertAlign val="superscript"/>
        <sz val="10"/>
        <color indexed="8"/>
        <rFont val="Arial CE"/>
        <family val="2"/>
      </rPr>
      <t xml:space="preserve">2  </t>
    </r>
  </si>
  <si>
    <t xml:space="preserve">Pokosení trávníku lučního pl do 1000 m2 s odvozem ve svahu přes 1:5 do 1:2 </t>
  </si>
  <si>
    <r>
      <t>pruleh 2 x seč = 2 x 65 m</t>
    </r>
    <r>
      <rPr>
        <i/>
        <vertAlign val="superscript"/>
        <sz val="10"/>
        <rFont val="Arial CE"/>
        <family val="2"/>
      </rPr>
      <t xml:space="preserve">2 </t>
    </r>
    <r>
      <rPr>
        <i/>
        <sz val="10"/>
        <color indexed="8"/>
        <rFont val="Arial CE"/>
        <family val="2"/>
      </rPr>
      <t>= 130 m</t>
    </r>
    <r>
      <rPr>
        <i/>
        <vertAlign val="superscript"/>
        <sz val="10"/>
        <color indexed="8"/>
        <rFont val="Arial CE"/>
        <family val="2"/>
      </rPr>
      <t xml:space="preserve">2  </t>
    </r>
  </si>
  <si>
    <t xml:space="preserve">Pokosení trávníku lučního pl do 1000 m2 s odvozem  ve svahu přes 1:2 do 1:1 </t>
  </si>
  <si>
    <r>
      <t>pruleh 2 x seč = 2 x 160 m</t>
    </r>
    <r>
      <rPr>
        <i/>
        <vertAlign val="superscript"/>
        <sz val="10"/>
        <rFont val="Arial CE"/>
        <family val="2"/>
      </rPr>
      <t xml:space="preserve">2 </t>
    </r>
    <r>
      <rPr>
        <i/>
        <sz val="10"/>
        <color indexed="8"/>
        <rFont val="Arial CE"/>
        <family val="2"/>
      </rPr>
      <t>=320 m</t>
    </r>
    <r>
      <rPr>
        <i/>
        <vertAlign val="superscript"/>
        <sz val="10"/>
        <color indexed="8"/>
        <rFont val="Arial CE"/>
        <family val="2"/>
      </rPr>
      <t xml:space="preserve">2  </t>
    </r>
  </si>
  <si>
    <t>Následná péče – dřevin 5 let</t>
  </si>
  <si>
    <t>185804312</t>
  </si>
  <si>
    <r>
      <t>Zalití rostlin jednotlivě přes 20 m</t>
    </r>
    <r>
      <rPr>
        <vertAlign val="superscript"/>
        <sz val="10"/>
        <rFont val="Arial CE"/>
        <family val="2"/>
      </rPr>
      <t xml:space="preserve">2 </t>
    </r>
  </si>
  <si>
    <t>Stromy: 10 zálivky á 80 l/ks, 5 x 10 x 80 x 11 ks = 44 m3</t>
  </si>
  <si>
    <t>Keře: 10 zálivky á 80 l/ks, 5 x 10 x 80  x 2 ks = 8 m3</t>
  </si>
  <si>
    <r>
      <t>Celkem 52 m</t>
    </r>
    <r>
      <rPr>
        <i/>
        <vertAlign val="superscript"/>
        <sz val="10"/>
        <rFont val="Arial CE"/>
        <family val="2"/>
      </rPr>
      <t>3</t>
    </r>
  </si>
  <si>
    <t xml:space="preserve">Specifikace užitkové vody  </t>
  </si>
  <si>
    <t>185851121</t>
  </si>
  <si>
    <t>Dovoz vody pro zálivku rostlin</t>
  </si>
  <si>
    <t>185851129</t>
  </si>
  <si>
    <t>Příplatek k ceně za každý započatých 1000 m</t>
  </si>
  <si>
    <r>
      <t>Celkem 9 km x  52 m</t>
    </r>
    <r>
      <rPr>
        <i/>
        <vertAlign val="superscript"/>
        <sz val="10"/>
        <rFont val="Arial CE"/>
        <family val="2"/>
      </rPr>
      <t xml:space="preserve">3 </t>
    </r>
  </si>
  <si>
    <t>Znovuuvázání dřeviny ke kůlům</t>
  </si>
  <si>
    <t xml:space="preserve">Odplevelení dřevin soliterních v rovině a svahu do 1:5 5x </t>
  </si>
  <si>
    <t xml:space="preserve">Odstranění ukotvení kmene dřevin třemi kůly D do 0,1 m dl přes 2 do 3 m </t>
  </si>
  <si>
    <t>Odstranění ukotvení kmene dřevin jedním kůlem D do 0,1 m dl přes 2 do 3 m</t>
  </si>
  <si>
    <t>Odstranění obalu z rákosové nebo kokosové rohože v rovině a svahu do 1:5</t>
  </si>
  <si>
    <t>184852322</t>
  </si>
  <si>
    <t>Řez stromu výchovný alejových stromů v přes 4 do 6 m x 2</t>
  </si>
  <si>
    <t>2 x 11 ks stromů = 22</t>
  </si>
  <si>
    <t xml:space="preserve">mezisoučet </t>
  </si>
  <si>
    <t>18 Povrchové úpravy terénu celkem</t>
  </si>
  <si>
    <t>99 - Ostatní práce HSV</t>
  </si>
  <si>
    <t>998231311</t>
  </si>
  <si>
    <t>Přesun hmot pro sadovnické úpravy do 5 000 m vodorovně.</t>
  </si>
  <si>
    <t>vlastní</t>
  </si>
  <si>
    <t xml:space="preserve">ztratné 3% </t>
  </si>
  <si>
    <t>ztratné 2%</t>
  </si>
  <si>
    <r>
      <t>Strom:</t>
    </r>
    <r>
      <rPr>
        <sz val="10"/>
        <rFont val="Arial CE"/>
        <family val="2"/>
      </rPr>
      <t xml:space="preserve"> </t>
    </r>
    <r>
      <rPr>
        <b/>
        <sz val="10"/>
        <rFont val="Arial CE"/>
        <family val="2"/>
      </rPr>
      <t>Sophora japonica 'Princeton Upright'</t>
    </r>
    <r>
      <rPr>
        <sz val="10"/>
        <rFont val="Arial CE"/>
        <family val="2"/>
      </rPr>
      <t>: obvod kmene 14 - 16cm, Øbalu 100cm, výkop jam: 1 m3, výměna půdy 100%</t>
    </r>
  </si>
  <si>
    <r>
      <t xml:space="preserve">Keř: </t>
    </r>
    <r>
      <rPr>
        <b/>
        <sz val="10"/>
        <rFont val="Arial CE"/>
        <family val="2"/>
      </rPr>
      <t xml:space="preserve">Amelanchier lamarckii </t>
    </r>
    <r>
      <rPr>
        <sz val="10"/>
        <rFont val="Arial CE"/>
        <family val="2"/>
      </rPr>
      <t xml:space="preserve"> (zapěstovaný vícekmen): velikost rostliny 150cm, Øbalu 25cm, výkop jam: 0,2 m3</t>
    </r>
  </si>
  <si>
    <t xml:space="preserve">Dřevěný kůl (včetně ostatních kotvících prostředků): kůl frézovaný s fazetou, se špicí, průměr 60 -80 mm, délka 3 m, 3 x 11 =33 ks </t>
  </si>
  <si>
    <t xml:space="preserve">Dřevěný kůl (včetně ostatních kotvících prostředků):  kůl frézovaný s fazetou, se špicí, průměr 60 -80 mm, délka 3 m, 1x 2 =2 ks </t>
  </si>
  <si>
    <t>Dřevěná  příčka z půlené, frézované kulatiny, průměr 60  mm, délka 0,5 m =3 x 11 =33 ks</t>
  </si>
  <si>
    <t>Úvazek bavlněný, šířka 30 mm, délka 0,7 m = 0,7 x 2 = 1,4</t>
  </si>
  <si>
    <t>Úvazek bavlněný, šířka 30 mm, délka 0,7 m/1 úvazek, tj. 3 ks x 0,7 m = 2,1 m/strom x 11 strom =23,1 m</t>
  </si>
  <si>
    <t>Zhotovení obalu z rákosové rohože (výška 140 cm, obvod kmene 15 -20 cm) - práce včetně materiálu</t>
  </si>
  <si>
    <t>Zhotovení ochranné bandáže PVC báze stromu (obvod báze kmene 25 cm)  - práce včetně materiálu</t>
  </si>
  <si>
    <t>Položkový soupis prací a dodávek</t>
  </si>
  <si>
    <t>#TypZaznamu#</t>
  </si>
  <si>
    <t>S:</t>
  </si>
  <si>
    <t>2022/34-2 HP</t>
  </si>
  <si>
    <t>TDI ul. K jezerům - Výmlatiště -úsek A.2+B+C+D</t>
  </si>
  <si>
    <t>STA</t>
  </si>
  <si>
    <t>O:</t>
  </si>
  <si>
    <t>SO 001.A.2,B,C,D</t>
  </si>
  <si>
    <t>Příprava území, HTÚ - úsek A.2+B+C+D</t>
  </si>
  <si>
    <t>OBJ</t>
  </si>
  <si>
    <t>R:</t>
  </si>
  <si>
    <t>stavební část</t>
  </si>
  <si>
    <t>ROZ</t>
  </si>
  <si>
    <t>P.č.</t>
  </si>
  <si>
    <t>Číslo položky</t>
  </si>
  <si>
    <t>Název položky</t>
  </si>
  <si>
    <t>Cena / MJ</t>
  </si>
  <si>
    <t>Dodávka celk.</t>
  </si>
  <si>
    <t>Montáž celk.</t>
  </si>
  <si>
    <t>Cena s DPH</t>
  </si>
  <si>
    <t>Hmotnost / MJ</t>
  </si>
  <si>
    <t>Hmotnost celk.(t)</t>
  </si>
  <si>
    <t>Dem. hmotnost / MJ</t>
  </si>
  <si>
    <t>Dem. hmotnost celk.(t)</t>
  </si>
  <si>
    <t>Ceník</t>
  </si>
  <si>
    <t>Cen. soustava / platnost</t>
  </si>
  <si>
    <t>Nhod / MJ</t>
  </si>
  <si>
    <t>Nhod celk.</t>
  </si>
  <si>
    <t>Dodavatel</t>
  </si>
  <si>
    <t>Typ položky</t>
  </si>
  <si>
    <t>Stav položky</t>
  </si>
  <si>
    <t>Díl:</t>
  </si>
  <si>
    <t>DIL</t>
  </si>
  <si>
    <t>139601102R00</t>
  </si>
  <si>
    <t>Ruční výkop jam, rýh a šachet v hornině 3</t>
  </si>
  <si>
    <t>RTS 23/ I</t>
  </si>
  <si>
    <t>Práce</t>
  </si>
  <si>
    <t>Běžná</t>
  </si>
  <si>
    <t>POL1_</t>
  </si>
  <si>
    <t>s přehozením na vzdálenost do 5 m nebo s naložením na ruční dopravní prostředek</t>
  </si>
  <si>
    <t>SPI</t>
  </si>
  <si>
    <t>5*,3*,3*,8</t>
  </si>
  <si>
    <t>111201101R00</t>
  </si>
  <si>
    <t>Odstranění křovin a stromů o průměru do 10 cm při celkové ploše do 1 000 m2</t>
  </si>
  <si>
    <t>s odstraněním kořenů a s případným nutným odklizením křovin a stromů na hromady na vzdálenost do 50 m nebo s naložením na dopravní prostředek, do sklonu terénu 1 : 5,</t>
  </si>
  <si>
    <t>B nepodléhající povolení : 14+8+32+34+12+13+11</t>
  </si>
  <si>
    <t>C : 6+18+17+16</t>
  </si>
  <si>
    <t>A2 : 19+26+14</t>
  </si>
  <si>
    <t>111212131R00</t>
  </si>
  <si>
    <t>Odstranění nevhodných dřevin výška nad 1 m, v rovině nebo na svahu do 1:5, s odstraněním pařezu</t>
  </si>
  <si>
    <t>o průměru kmene (krčku) do 10 cm s odklizením vytěžené dřevní hmoty na vzdálenost do 50 m, se složením na hromady, nebo s naložením na dopravní prostředek,</t>
  </si>
  <si>
    <t xml:space="preserve"> B.C   podléhající povolení č.11,14,38,33,34,36 : 488+119+70+63+264+55</t>
  </si>
  <si>
    <t>112101112R00</t>
  </si>
  <si>
    <t>Pokácení stromu listnaté, průměr přes 200 do 300 mm, v rovině nebo na svahu do 1:5</t>
  </si>
  <si>
    <t>s rozřezáním a odstraněním větví a kmene do vzdálenosti 20 m, se složením na hromady nebo s naložením na dopravní prostředek,</t>
  </si>
  <si>
    <t>č.2,12 : 2</t>
  </si>
  <si>
    <t>A2,B,C : 6+15+2</t>
  </si>
  <si>
    <t>112101113R00</t>
  </si>
  <si>
    <t>Pokácení stromu listnaté, průměr přes 300 do 400 mm, v rovině nebo na svahu do 1:5</t>
  </si>
  <si>
    <t>č.16 : 1</t>
  </si>
  <si>
    <t>A2,B,C : 3+4+6</t>
  </si>
  <si>
    <t>112101222R00</t>
  </si>
  <si>
    <t>Pokácení stromu jehličnaté, průměr přes 200 do 300 mm, v rovině nebo na svahu do 1:5</t>
  </si>
  <si>
    <t>č.6,8 : 2</t>
  </si>
  <si>
    <t>112201112R00</t>
  </si>
  <si>
    <t>Odstranění pařezu průměr přes 200 do 300 mm, v rovině nebo na svahu do 1:5</t>
  </si>
  <si>
    <t>s odklizením získaného dřeva na vzdálenost do 20 m, se složením na hromady nebo s naložením na dopravní prostředek, se zasypáním jámy, doplněním zeminy, zhutněním a úpravou terénu,</t>
  </si>
  <si>
    <t>112201113R00</t>
  </si>
  <si>
    <t>Odstranění pařezu průměr přes 300 do 400 mm, v rovině nebo na svahu do 1:5</t>
  </si>
  <si>
    <t>162301401R00</t>
  </si>
  <si>
    <t>Vodorovné přemístění větví, kmenů, nebo pařezů větví stromů listnatých, průměru kmene přes 100 do 300 mm, na vzdálenost do 5 000 m</t>
  </si>
  <si>
    <t xml:space="preserve"> s naložením, složením a dopravou,</t>
  </si>
  <si>
    <t>162301402R00</t>
  </si>
  <si>
    <t>Vodorovné přemístění větví, kmenů, nebo pařezů větví stromů listnatých, průměru kmene přes 300 do 500 mm, na vzdálenost do 5 000 m</t>
  </si>
  <si>
    <t>162301405R00</t>
  </si>
  <si>
    <t>Vodorovné přemístění větví, kmenů, nebo pařezů větví stromů jehličnatých, průměru kmene přes 100 do 300 mm, na vzdálenost do 5 000 m</t>
  </si>
  <si>
    <t>162301411R00</t>
  </si>
  <si>
    <t>Vodorovné přemístění větví, kmenů, nebo pařezů kmenů stromů listnatých, průměru kmene přes 100 do 300 mm, na vzdálenost do 5 000 m</t>
  </si>
  <si>
    <t>162301412R00</t>
  </si>
  <si>
    <t>Vodorovné přemístění větví, kmenů, nebo pařezů kmenů stromů listnatých, průměru kmene přes 300 do 500 mm, na vzdálenost do 5 000 m</t>
  </si>
  <si>
    <t>162301415R00</t>
  </si>
  <si>
    <t>Vodorovné přemístění větví, kmenů, nebo pařezů kmenů stromů jehličnatých, průměru kmene přes 100 do 300 mm, na vzdálenost do 5 000 m</t>
  </si>
  <si>
    <t>162301421R00</t>
  </si>
  <si>
    <t>Vodorovné přemístění větví, kmenů, nebo pařezů pařezů, průměru kmene přes 100 do 300 mm, na vzdálenost do 5 000 m</t>
  </si>
  <si>
    <t>162301422R00</t>
  </si>
  <si>
    <t>Vodorovné přemístění větví, kmenů, nebo pařezů pařezů, průměru kmene přes 300 do 500 mm, na vzdálenost do 5 000 m</t>
  </si>
  <si>
    <t>162301901R00</t>
  </si>
  <si>
    <t>Vodorovné přemístění větví, kmenů, nebo pařezů příplatek k cenám za každých dalších i započatých 5 000 m přes 5 000 m  větví stromů listnatých, průměru kmene přes 100 do 300 mm</t>
  </si>
  <si>
    <t>162301902R00</t>
  </si>
  <si>
    <t>Vodorovné přemístění větví, kmenů, nebo pařezů příplatek k cenám za každých dalších i započatých 5 000 m přes 5 000 m  větví stromů listnatých, průměru kmene přes 300 do 500 mm</t>
  </si>
  <si>
    <t>162301905R00</t>
  </si>
  <si>
    <t>Vodorovné přemístění větví, kmenů, nebo pařezů příplatek k cenám za každých dalších i započatých 5 000 m přes 5 000 m  větví stromů jehličnatých, průměru kmene přes 100 do 300 mm</t>
  </si>
  <si>
    <t>162301911R00</t>
  </si>
  <si>
    <t>Vodorovné přemístění větví, kmenů, nebo pařezů příplatek k cenám za každých dalších i započatých 5 000 m přes 5 000 m  kmenů stromů listnatých, průměru kmene přes 100 do 300 mm</t>
  </si>
  <si>
    <t>162301912R00</t>
  </si>
  <si>
    <t>Vodorovné přemístění větví, kmenů, nebo pařezů příplatek k cenám za každých dalších i započatých 5 000 m přes 5 000 m  kmenů stromů listnatých, průměru kmene přes 300 do 500 mm</t>
  </si>
  <si>
    <t>162301915R00</t>
  </si>
  <si>
    <t>Vodorovné přemístění větví, kmenů, nebo pařezů příplatek k cenám za každých dalších i započatých 5 000 m přes 5 000 m  kmenů stromů jehličnatých, průměru kmene přes 100 do 300 mm</t>
  </si>
  <si>
    <t>162301921R00</t>
  </si>
  <si>
    <t>Vodorovné přemístění větví, kmenů, nebo pařezů příplatek k cenám za každých dalších i započatých 5 000 m přes 5 000 m  pařezů, průměru kmene přes 100 do 300 mm</t>
  </si>
  <si>
    <t>162301922R00</t>
  </si>
  <si>
    <t>Vodorovné přemístění větví, kmenů, nebo pařezů příplatek k cenám za každých dalších i započatých 5 000 m přes 5 000 m  pařezů, průměru kmene přes 300 do 500 mm</t>
  </si>
  <si>
    <t>162301501R00</t>
  </si>
  <si>
    <t>Vodorovné přemístění křovin nma vzdálenost do 5 000 m</t>
  </si>
  <si>
    <t>o průměru kmene do 10 cm na vzdálenost, složení z dopravního porstředku.</t>
  </si>
  <si>
    <t>979990161R00</t>
  </si>
  <si>
    <t>Poplatek za skládku za uložení, dřevo,  , skupina 17 02 01 z Katalogu odpadů</t>
  </si>
  <si>
    <t>801-3</t>
  </si>
  <si>
    <t>162301501R0x</t>
  </si>
  <si>
    <t>příplatek za vodorovné přemístění křovin dalších  5000 m</t>
  </si>
  <si>
    <t>Vlastní</t>
  </si>
  <si>
    <t>338171122R00</t>
  </si>
  <si>
    <t>Osazování sloupků a vzpěr plotových ocelových výšky do 2,60 m, se zabetonováním do 0,5 m3 do předem připravených jamek betonem C 25/30</t>
  </si>
  <si>
    <t>801-5</t>
  </si>
  <si>
    <t>trubkových nebo profilovaných</t>
  </si>
  <si>
    <t>553462013R</t>
  </si>
  <si>
    <t>sloupek plotový ocel; válec; l = 2 250 mm; d 48 mm; povrch pozink, PVC</t>
  </si>
  <si>
    <t>SPCM</t>
  </si>
  <si>
    <t>Specifikace</t>
  </si>
  <si>
    <t>POL3_</t>
  </si>
  <si>
    <t>962052211R00</t>
  </si>
  <si>
    <t>Bourání zdiva železobetonového nadzákladového</t>
  </si>
  <si>
    <t>nebo vybourání otvorů průřezové plochy přes 4 m2 ve zdivu železobetonovém, včetně pomocného lešení o výšce podlahy do 1900 mm a pro zatížení do 1,5 kPa  (150 kg/m2),</t>
  </si>
  <si>
    <t>garáž : 5,6*3,4*,15+(5,6*2+3,4)*2,3*,1</t>
  </si>
  <si>
    <t>skruže : 2*3,14*1,0*,1*1,5</t>
  </si>
  <si>
    <t>966067111R00</t>
  </si>
  <si>
    <t>Rozebrání plotu tyčového laťového prkenného, drátěného, plechového</t>
  </si>
  <si>
    <t>B : 14</t>
  </si>
  <si>
    <t>A2+B+C : 531</t>
  </si>
  <si>
    <t>A2 : 35</t>
  </si>
  <si>
    <t>767920840R00</t>
  </si>
  <si>
    <t>Demontáž vrat a vrátek k oplocení o ploše jednotlivě přes 6 do 10 m2</t>
  </si>
  <si>
    <t>800-767</t>
  </si>
  <si>
    <t>A2,B : 2+2</t>
  </si>
  <si>
    <t xml:space="preserve">960 </t>
  </si>
  <si>
    <t>odstranění plechové maringotky  (7,5x2,4x2m) - kompl.vč odvozu a  ekologické likvidace</t>
  </si>
  <si>
    <t>Agregovaná položka</t>
  </si>
  <si>
    <t>POL2_</t>
  </si>
  <si>
    <t>Demolice</t>
  </si>
  <si>
    <t>981011111R00</t>
  </si>
  <si>
    <t xml:space="preserve">Demolice budov prováděné postupným rozebíráním dřevěných lehkých jednostranně obitých,  </t>
  </si>
  <si>
    <t>800-6</t>
  </si>
  <si>
    <t>Budovy výšky do 35 m.</t>
  </si>
  <si>
    <t>POP</t>
  </si>
  <si>
    <t>3,7*3,7*3,4</t>
  </si>
  <si>
    <t>981012414R00</t>
  </si>
  <si>
    <t>Demolice budov prováděné jiným způsobem z cihel, kamene, tvárnic na maltu cementovou a z betonu prostého, s podílem konstrukcí přes 20 do 25 %</t>
  </si>
  <si>
    <t>3,75*3,81*3,4</t>
  </si>
  <si>
    <t>767</t>
  </si>
  <si>
    <t>Konstrukce zámečnické</t>
  </si>
  <si>
    <t>767911120R00</t>
  </si>
  <si>
    <t>Montáž oplocení z pletiva strojového, o výšce do 1,6 m</t>
  </si>
  <si>
    <t>B : 13</t>
  </si>
  <si>
    <t>31327101R</t>
  </si>
  <si>
    <t>pletivo drátěné 4-hranné se zapl.napínacím drátem; h = 1,60 m; velikost ok 50 mm; d drátu 2,24 mm; povrch. úprava pozinkovaný drát</t>
  </si>
  <si>
    <t>31479012R</t>
  </si>
  <si>
    <t>stojek napínací poplastovaný, vel.2, používá se k vypnutí napínacího drátu u 4-hranných</t>
  </si>
  <si>
    <t>ccca : 3*2</t>
  </si>
  <si>
    <t>D96</t>
  </si>
  <si>
    <t>Přesuny suti a vybouraných hmot</t>
  </si>
  <si>
    <t>979081111R00</t>
  </si>
  <si>
    <t>Odvoz suti a vybouraných hmot na skládku do 1 km</t>
  </si>
  <si>
    <t>Přesun suti</t>
  </si>
  <si>
    <t>POL8_</t>
  </si>
  <si>
    <t>Včetně naložení na dopravní prostředek a složení na skládku, bez poplatku za skládku.</t>
  </si>
  <si>
    <t xml:space="preserve">Demontážní hmotnosti z položek s pořadovými čísly: : </t>
  </si>
  <si>
    <t xml:space="preserve">30,31,32,34,35, : </t>
  </si>
  <si>
    <t>Součet: : 48,76112</t>
  </si>
  <si>
    <t>979081121R00</t>
  </si>
  <si>
    <t>Odvoz suti a vybouraných hmot na skládku příplatek za každý další 1 km</t>
  </si>
  <si>
    <t>Součet: : 682,65567</t>
  </si>
  <si>
    <t>979082111R00</t>
  </si>
  <si>
    <t>Vnitrostaveništní doprava suti a vybouraných hmot do 10 m</t>
  </si>
  <si>
    <t>979082121R00</t>
  </si>
  <si>
    <t>Vnitrostaveništní doprava suti a vybouraných hmot příplatek k ceně za každých dalších 5 m</t>
  </si>
  <si>
    <t>Součet: : 195,04448</t>
  </si>
  <si>
    <t>979990107R00</t>
  </si>
  <si>
    <t>Poplatek za skládku za uložení, směs betonu, cihel a dřeva,  , skupina 17 09 04 z Katalogu odpadů</t>
  </si>
  <si>
    <t>SUM</t>
  </si>
  <si>
    <t>END</t>
  </si>
  <si>
    <t>Soupis vedlejších a ostatních nákladů</t>
  </si>
  <si>
    <t>00</t>
  </si>
  <si>
    <t>Vedlejší a ostatní náklady</t>
  </si>
  <si>
    <t>NAK</t>
  </si>
  <si>
    <t>VN+ON</t>
  </si>
  <si>
    <t>VN</t>
  </si>
  <si>
    <t>Vedlejší náklady</t>
  </si>
  <si>
    <t>005111020R</t>
  </si>
  <si>
    <t>Vytyčení stavby</t>
  </si>
  <si>
    <t>Soubor</t>
  </si>
  <si>
    <t>POL99_8</t>
  </si>
  <si>
    <t>Geodetické zaměření rohů stavby, stabilizace bodů a sestavení laviček.</t>
  </si>
  <si>
    <t>Vyhotovení protokolu o vytyčení stavby se seznamem souřadnic vytyčených bodů a jejich polohopisnými (S-JTSK) a výškopisnými (Bpv) hodnotami.</t>
  </si>
  <si>
    <t>005111021R</t>
  </si>
  <si>
    <t>Vytyčení inženýrských sítí</t>
  </si>
  <si>
    <t>Zaměření a vytýčení stávajících inženýrských sítí v místě stavby z hlediska jejich ochrany při provádění stavby.</t>
  </si>
  <si>
    <t>005121010R</t>
  </si>
  <si>
    <t>Vybudování zařízení staveniště</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</si>
  <si>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</si>
  <si>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</si>
  <si>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</si>
  <si>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</si>
  <si>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</si>
  <si>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</si>
  <si>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</si>
  <si>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005122010R</t>
  </si>
  <si>
    <t xml:space="preserve">Provoz objednatele </t>
  </si>
  <si>
    <t>POL99_0</t>
  </si>
  <si>
    <t>Náklady na ztížené provádění stavebních prací v důsledku nepřerušeného provozu na staveništi nebo v případech nepřerušeného provozu v objektech v nichž se stavební práce provádí.</t>
  </si>
  <si>
    <t>005122020R</t>
  </si>
  <si>
    <t xml:space="preserve">Silniční, železniční či kolejový provoz  </t>
  </si>
  <si>
    <t>POL99_1</t>
  </si>
  <si>
    <t>Náklady na ztížené provádění stavebních prací v důsledku nepřerušeného dopravního provozu na staveništi nebo v jeho bezprostředním okolí.</t>
  </si>
  <si>
    <t>005124010R</t>
  </si>
  <si>
    <t>Koordinační činnost</t>
  </si>
  <si>
    <t>Koordinace stavebních a technologických dodávek stavby.</t>
  </si>
  <si>
    <t>ON</t>
  </si>
  <si>
    <t>Ostatní náklady</t>
  </si>
  <si>
    <t>004111010R</t>
  </si>
  <si>
    <t xml:space="preserve">Průzkumné práce </t>
  </si>
  <si>
    <t>Náklady na provedení průzkumů nebo doplnění stávajících průzkumů, pokud je obchodní podmínky vyžadují a tyto průzkumy nejsou v dostatečném rozsahu součástí projektové dokumentace. Jedná se zejména o Geologický – inženýrsko-geologický / radonový / hydrogeologický / pedologický průzkum, botanický a zoologický průzkum, stavební průzkum – umělecko historický / stavebně statický a případný průzkum výskytu nebezpečných látek – odpadu / munice / výbušnin apod.</t>
  </si>
  <si>
    <t>005211010R</t>
  </si>
  <si>
    <t>Předání a převzetí staveniště</t>
  </si>
  <si>
    <t>Náklady spojené s účastí zhotovitele na předání a převzetí staveniště.</t>
  </si>
  <si>
    <t>005211020R</t>
  </si>
  <si>
    <t>Ochrana stávaj. inženýrských sítí na staveništi</t>
  </si>
  <si>
    <t>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</si>
  <si>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</si>
  <si>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</si>
  <si>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</si>
  <si>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005211080R</t>
  </si>
  <si>
    <t xml:space="preserve">Bezpečnostní a hygienická opatření na staveništi </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</si>
  <si>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</si>
  <si>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005231010R</t>
  </si>
  <si>
    <t>Revize</t>
  </si>
  <si>
    <t>náklady spojené s provedením všech technickými normami předepsaných zkoušek a revizí stavebních konstrukcí nebo stavebních prací.</t>
  </si>
  <si>
    <t>005231020R</t>
  </si>
  <si>
    <t>Individuální a komplexní vyzkoušení</t>
  </si>
  <si>
    <t>Náklady na individuální zkoušky dodaných a smontovaných technologických zařízení včetně komplexního vyzkoušení.</t>
  </si>
  <si>
    <t>005231040R</t>
  </si>
  <si>
    <t>Provozní řády</t>
  </si>
  <si>
    <t>Náklady zhotovitele na vypracování provozních řádů pro zkušební či trvalý provoz včetně nákladů na předání všech návodů k obsluze a údržbě pro technologická zařízení a včetně zaškolení obsluhy objednatele.</t>
  </si>
  <si>
    <t>005241010R</t>
  </si>
  <si>
    <t xml:space="preserve">Dokumentace skutečného provedení </t>
  </si>
  <si>
    <t>Náklady na vyhotovení dokumentace skutečného provedení stavby a její předání objednateli v požadované formě a požadovaném počtu.</t>
  </si>
  <si>
    <t>005241020R</t>
  </si>
  <si>
    <t xml:space="preserve">Geodetické zaměření skutečného provedení  </t>
  </si>
  <si>
    <t>Náklady na provedení skutečného zaměření stavby v rozsahu nezbytném pro zápis změny do katastru nemovitostí.</t>
  </si>
  <si>
    <t>#RTSROZP#</t>
  </si>
  <si>
    <t>Soupis stavebních prací, dodávek a služeb</t>
  </si>
  <si>
    <t>Zadavatel</t>
  </si>
  <si>
    <t>IČO:</t>
  </si>
  <si>
    <t>44992785</t>
  </si>
  <si>
    <t>Dominikánské náměstí 196/1</t>
  </si>
  <si>
    <t>DIČ:</t>
  </si>
  <si>
    <t>CZ44992785</t>
  </si>
  <si>
    <t>60200</t>
  </si>
  <si>
    <t>Brno-Brno-město</t>
  </si>
  <si>
    <t>HiProject s.r.o.</t>
  </si>
  <si>
    <t>26292483</t>
  </si>
  <si>
    <t>Staňkova 359/8A</t>
  </si>
  <si>
    <t>CZ26292483</t>
  </si>
  <si>
    <t>Brno-Ponava</t>
  </si>
  <si>
    <t>Vypracoval:</t>
  </si>
  <si>
    <t>Rozpis ceny</t>
  </si>
  <si>
    <t>MON</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</si>
  <si>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</si>
  <si>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</si>
  <si>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</si>
  <si>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</si>
  <si>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</si>
  <si>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</si>
  <si>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</si>
  <si>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</si>
  <si>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</si>
  <si>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</si>
  <si>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</si>
  <si>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</si>
  <si>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</si>
  <si>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</si>
  <si>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</si>
  <si>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</si>
  <si>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</si>
  <si>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</si>
  <si>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</si>
  <si>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</si>
  <si>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Stavba</t>
  </si>
  <si>
    <t>Ostatní a vedlejší náklady</t>
  </si>
  <si>
    <t>Stavební objekt</t>
  </si>
  <si>
    <t>Celkem za stavbu</t>
  </si>
  <si>
    <t xml:space="preserve"> SO 101.A.2</t>
  </si>
  <si>
    <t>SO 101.1.A.2</t>
  </si>
  <si>
    <t xml:space="preserve"> Komunikace, chodníky, zpevněné plochy, parkoviště -  úsek "A"</t>
  </si>
  <si>
    <t xml:space="preserve"> Stanoviště pro komunální odpad, zpevněné plochy, pražcový chodník  - úsek "A"</t>
  </si>
  <si>
    <t xml:space="preserve"> SO 102.B</t>
  </si>
  <si>
    <t>Komunikace, chodníky, zpevněné plochy, parkoviště -  úsek "B"</t>
  </si>
  <si>
    <t>SO 102.1.B</t>
  </si>
  <si>
    <t xml:space="preserve"> Chodníky, zpevněné plochy -  úsek "B"</t>
  </si>
  <si>
    <t xml:space="preserve"> SO 103.C</t>
  </si>
  <si>
    <t>Komunikace, chodníky, zpevněné plochy, parkoviště -  úsek "C"</t>
  </si>
  <si>
    <t xml:space="preserve">SO 103.1.C </t>
  </si>
  <si>
    <t>Stanoviště pro separovaný odpad, zpevněné plochy - úsek "C"</t>
  </si>
  <si>
    <t>SO 104.D</t>
  </si>
  <si>
    <t xml:space="preserve"> Úprava autobusové zastávky -  úsek "D"</t>
  </si>
  <si>
    <t>SO 104.1.D</t>
  </si>
  <si>
    <t xml:space="preserve"> Stanoviště pro separovaný odpad - úsek "D"</t>
  </si>
  <si>
    <t>SO 300, SO 301, 
SO 302. A.2.B.C</t>
  </si>
  <si>
    <t xml:space="preserve"> Prodloužení, vodovod</t>
  </si>
  <si>
    <t>SO 305, 
SO 306.A.2.B,C</t>
  </si>
  <si>
    <t>Kanalizace</t>
  </si>
  <si>
    <t>SO 303, 
SO 304.A.2.B.C</t>
  </si>
  <si>
    <t xml:space="preserve">Povrchové odvodnění </t>
  </si>
  <si>
    <t>SO 405.1-P.D</t>
  </si>
  <si>
    <t xml:space="preserve">Přeložka VO - přeložky bodů - úsek D  </t>
  </si>
  <si>
    <t>SO 405.A.2.B</t>
  </si>
  <si>
    <t>Rozvody VO - úsek A.2+B</t>
  </si>
  <si>
    <t>SO 406.C</t>
  </si>
  <si>
    <t xml:space="preserve"> Rozvody VO - úsek C</t>
  </si>
  <si>
    <t>SO 501.A.2</t>
  </si>
  <si>
    <t xml:space="preserve"> Předimenzování stávajícího STL plynovodu</t>
  </si>
  <si>
    <t>SO 502, 
SO 503.A.2.B.C</t>
  </si>
  <si>
    <t xml:space="preserve">Plynovod </t>
  </si>
  <si>
    <t>SO 801.A.2.B.C.D</t>
  </si>
  <si>
    <t>Terénní a sadové úpravy</t>
  </si>
  <si>
    <t>SO 405.1-N.D</t>
  </si>
  <si>
    <t>Přeložka VO - nové body- úsek D</t>
  </si>
  <si>
    <t>HSV,PSV,MON</t>
  </si>
  <si>
    <t>Pokyny pro vyplnění</t>
  </si>
  <si>
    <t>Ve všech listech tohoto souboru můžete měnit pouze buňky s modrým pozadím. Jedná se o tyto údaje : 
- údaje o firmě
- jednotkové ceny položek zadané na maximálně dvě desetinná místa</t>
  </si>
  <si>
    <t>Průběžný geologický dozor na stavbě</t>
  </si>
  <si>
    <t>005211</t>
  </si>
  <si>
    <t>cenová soustava</t>
  </si>
  <si>
    <t>ÚRS 2022</t>
  </si>
  <si>
    <t>cenová 
soustava</t>
  </si>
  <si>
    <t>TBV-Q 50/79 KV spodní dílec vpusti DN 500</t>
  </si>
  <si>
    <t>Značka dopr inf IP 11-13 500/700 fól1, EG 7letá</t>
  </si>
  <si>
    <t>Dopravní značka upravující přednost - pozink s dvojitým lisovaným ohybem, reflexní tř. 1  Vynikající životnost (záruka 7 let), kvalitní zpracováním. Jejich výhody: především cena.  Všechny značky na pozinkovaném plechu mají nyní dvojitý ohyb v prolisu i v rozích!!! V poslední době se také zvýšila jejich životnost použitím opravdu kvalitních a značkových reflexních materiálů.  Nabízí i tyto značky s výrobkovým certifikátem pro použití na pozemních komunikacích v ČR.  Průkaz způsobilosti k montážím dopravního značení - specialista na dopravní značení a cyklotrasy ISO 9001:2001  Soubor všech značek, patřící do této kategorie Značky upravující přednost "Dej přednost v jízdě!" (č. P 4), která označuje vedlejší pozemní komunikaci; této značky se může užít i uvnitř větší nebo složitější křižovatky  nebo na místě, kde se řidiči přikazuje,</t>
  </si>
  <si>
    <t>Dopravní značka upravující přednost - pozink s dvojitým lisovaným ohybem, reflexní tř. 1  Vynikající životnost (záruka 7 let), kvalitní zpracováním. Jejich výhody: především cena.  Všechny značky na pozinkovaném plechu mají nyní dvojitý ohyb v prolisu i v rozích!!! V poslední době se také zvýšila jejich životnost použitím opravdu kvalitních a značkových reflexních materiálů.  Nabízí i tyto značky s výrobkovým certifikátem pro použití na pozemních komunikacích v ČR.  Průkaz způsobilosti k montážím dopravního značení. - specialista na dopravní značení a cyklotrasy ISO 9001:2001  Soubor všech značek, patřící do této kategorie Značky upravující přednost "Hlavní pozemní komunikace" (č. P 2), která označuje hlavní pozemní komunikaci, a to zejména v obci; značky se může užít i uvnitř větší nebo složitější křižovatky</t>
  </si>
  <si>
    <t xml:space="preserve">hydrant nadzemní litinový  </t>
  </si>
  <si>
    <t xml:space="preserve">Kanalizační poklop D 400 </t>
  </si>
  <si>
    <r>
      <t>filtrační vrstva s hodnotou filtračního koeficientu K= 5*10</t>
    </r>
    <r>
      <rPr>
        <i/>
        <vertAlign val="superscript"/>
        <sz val="9"/>
        <color rgb="FF0000FF"/>
        <rFont val="Arial CE"/>
        <family val="2"/>
      </rPr>
      <t xml:space="preserve">-5 </t>
    </r>
    <r>
      <rPr>
        <i/>
        <sz val="9"/>
        <color rgb="FF0000FF"/>
        <rFont val="Arial CE"/>
        <family val="2"/>
      </rPr>
      <t>- 2*10</t>
    </r>
    <r>
      <rPr>
        <i/>
        <vertAlign val="superscript"/>
        <sz val="9"/>
        <color rgb="FF0000FF"/>
        <rFont val="Arial CE"/>
        <family val="2"/>
      </rPr>
      <t>-4</t>
    </r>
    <r>
      <rPr>
        <i/>
        <sz val="9"/>
        <color rgb="FF0000FF"/>
        <rFont val="Arial CE"/>
        <family val="2"/>
      </rPr>
      <t xml:space="preserve"> m*s</t>
    </r>
    <r>
      <rPr>
        <i/>
        <vertAlign val="superscript"/>
        <sz val="9"/>
        <color rgb="FF0000FF"/>
        <rFont val="Arial CE"/>
        <family val="2"/>
      </rPr>
      <t>-1</t>
    </r>
  </si>
  <si>
    <t>DLAŽBA BETONOVÁ CHODNÍKOVÁ  PŘÍRODNÍ/4CM, 40x40CM</t>
  </si>
  <si>
    <t xml:space="preserve">Očíslování stožárů - správce VO </t>
  </si>
  <si>
    <t>Skříň zapínací RVO v pilíři</t>
  </si>
  <si>
    <t xml:space="preserve">svítidlo LED 36W, 3000K, IK10, driver, IP66 </t>
  </si>
  <si>
    <t xml:space="preserve">svítidlo LED 41W, 3000K, IK10, driver, IP66 </t>
  </si>
  <si>
    <t>svítidlo LED 20W, 3000K, IK10, driver, IP66</t>
  </si>
  <si>
    <t>svítidlo LED 12W, 3000K, IK10, driver, IP66</t>
  </si>
  <si>
    <t>svítidlo LED 13W, 3000K, IK10,  driver, IP66</t>
  </si>
  <si>
    <t>svítidlo LED 15W, 3000K, IK10,  driver, IP66</t>
  </si>
  <si>
    <t>Propojení stávajíc STL plynovodní přípojky d25</t>
  </si>
  <si>
    <t xml:space="preserve">Napojení na stávající STL plynovod d110 </t>
  </si>
  <si>
    <t>Kohout kulový přímý G 1 PN 42 do 185°C plnoprůtokový s koulí a vnitřní závit těžká řada</t>
  </si>
  <si>
    <t xml:space="preserve"> uliční poklop hydrantový </t>
  </si>
  <si>
    <t>Geodetické práce po výstavbě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</si>
</sst>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dd\.mm\.yyyy"/>
    <numFmt numFmtId="165" formatCode="#,##0.00000"/>
    <numFmt numFmtId="166" formatCode="#,##0.000"/>
    <numFmt numFmtId="167" formatCode="0.000"/>
    <numFmt numFmtId="168" formatCode="_-* #,##0.0\ _K_č_-;\-* #,##0.0\ _K_č_-;_-* &quot;- &quot;_K_č_-;_-@_-"/>
    <numFmt numFmtId="169" formatCode="_-* #,##0.00\ _K_č_-;\-* #,##0.00\ _K_č_-;_-* \-??\ _K_č_-;_-@_-"/>
    <numFmt numFmtId="170" formatCode="#,##0.0"/>
    <numFmt numFmtId="171" formatCode="0.00000"/>
    <numFmt numFmtId="172" formatCode="#,##0.0000"/>
    <numFmt numFmtId="173" formatCode="0.0"/>
    <numFmt numFmtId="174" formatCode="#,##0.00000_ ;\-#,##0.00000\ "/>
  </numFmts>
  <fonts count="73">
    <font>
      <sz val="11"/>
      <color theme="1"/>
      <name val="Calibri"/>
      <family val="2"/>
      <scheme val="minor"/>
    </font>
    <font>
      <sz val="10"/>
      <name val="Arial"/>
      <family val="2"/>
    </font>
    <font>
      <sz val="18"/>
      <name val="Arial"/>
      <family val="2"/>
    </font>
    <font>
      <b/>
      <sz val="10"/>
      <name val="Arial"/>
      <family val="2"/>
    </font>
    <font>
      <i/>
      <sz val="10"/>
      <name val="Arial"/>
      <family val="2"/>
    </font>
    <font>
      <i/>
      <sz val="8"/>
      <name val="Arial"/>
      <family val="2"/>
    </font>
    <font>
      <b/>
      <sz val="14"/>
      <name val="Arial CE"/>
      <family val="2"/>
    </font>
    <font>
      <sz val="10"/>
      <color rgb="FF969696"/>
      <name val="Arial CE"/>
      <family val="2"/>
    </font>
    <font>
      <b/>
      <sz val="11"/>
      <name val="Arial CE"/>
      <family val="2"/>
    </font>
    <font>
      <sz val="10"/>
      <name val="Arial CE"/>
      <family val="2"/>
    </font>
    <font>
      <b/>
      <sz val="12"/>
      <color rgb="FF960000"/>
      <name val="Arial CE"/>
      <family val="2"/>
    </font>
    <font>
      <sz val="9"/>
      <name val="Arial CE"/>
      <family val="2"/>
    </font>
    <font>
      <sz val="12"/>
      <color rgb="FF003366"/>
      <name val="Arial CE"/>
      <family val="2"/>
    </font>
    <font>
      <sz val="10"/>
      <color rgb="FF003366"/>
      <name val="Arial CE"/>
      <family val="2"/>
    </font>
    <font>
      <sz val="9"/>
      <color rgb="FF969696"/>
      <name val="Arial CE"/>
      <family val="2"/>
    </font>
    <font>
      <sz val="8"/>
      <color rgb="FF960000"/>
      <name val="Arial CE"/>
      <family val="2"/>
    </font>
    <font>
      <b/>
      <sz val="8"/>
      <name val="Arial CE"/>
      <family val="2"/>
    </font>
    <font>
      <sz val="8"/>
      <color rgb="FF003366"/>
      <name val="Arial CE"/>
      <family val="2"/>
    </font>
    <font>
      <i/>
      <sz val="9"/>
      <color rgb="FF0000FF"/>
      <name val="Arial CE"/>
      <family val="2"/>
    </font>
    <font>
      <i/>
      <sz val="8"/>
      <color rgb="FF0000FF"/>
      <name val="Arial CE"/>
      <family val="2"/>
    </font>
    <font>
      <sz val="8"/>
      <color rgb="FF505050"/>
      <name val="Arial CE"/>
      <family val="2"/>
    </font>
    <font>
      <sz val="7"/>
      <color rgb="FF969696"/>
      <name val="Arial CE"/>
      <family val="2"/>
    </font>
    <font>
      <b/>
      <sz val="10"/>
      <name val="Arial CE"/>
      <family val="2"/>
    </font>
    <font>
      <sz val="8"/>
      <name val="Arial CE"/>
      <family val="2"/>
    </font>
    <font>
      <b/>
      <u val="single"/>
      <sz val="10"/>
      <name val="Arial CE"/>
      <family val="2"/>
    </font>
    <font>
      <b/>
      <i/>
      <u val="single"/>
      <sz val="10"/>
      <name val="Arial CE"/>
      <family val="2"/>
    </font>
    <font>
      <i/>
      <sz val="10"/>
      <name val="Arial CE"/>
      <family val="2"/>
    </font>
    <font>
      <i/>
      <u val="single"/>
      <sz val="10"/>
      <name val="Arial CE"/>
      <family val="2"/>
    </font>
    <font>
      <b/>
      <sz val="12"/>
      <name val="Arial"/>
      <family val="2"/>
    </font>
    <font>
      <i/>
      <sz val="8"/>
      <name val="Arial CE"/>
      <family val="2"/>
    </font>
    <font>
      <b/>
      <sz val="7"/>
      <name val="Arial"/>
      <family val="2"/>
    </font>
    <font>
      <i/>
      <vertAlign val="superscript"/>
      <sz val="10"/>
      <name val="Arial CE"/>
      <family val="2"/>
    </font>
    <font>
      <i/>
      <sz val="10"/>
      <color indexed="8"/>
      <name val="Arial CE"/>
      <family val="2"/>
    </font>
    <font>
      <i/>
      <vertAlign val="superscript"/>
      <sz val="10"/>
      <color indexed="8"/>
      <name val="Arial CE"/>
      <family val="2"/>
    </font>
    <font>
      <vertAlign val="superscript"/>
      <sz val="10"/>
      <name val="Arial CE"/>
      <family val="2"/>
    </font>
    <font>
      <sz val="7"/>
      <name val="Arial"/>
      <family val="2"/>
    </font>
    <font>
      <b/>
      <i/>
      <u val="single"/>
      <sz val="10"/>
      <name val="Arial"/>
      <family val="2"/>
    </font>
    <font>
      <sz val="8"/>
      <name val="Arial"/>
      <family val="2"/>
    </font>
    <font>
      <b/>
      <i/>
      <u val="single"/>
      <sz val="8"/>
      <name val="Arial"/>
      <family val="2"/>
    </font>
    <font>
      <b/>
      <i/>
      <sz val="8"/>
      <name val="Arial"/>
      <family val="2"/>
    </font>
    <font>
      <sz val="8"/>
      <color indexed="10"/>
      <name val="Arial"/>
      <family val="2"/>
    </font>
    <font>
      <sz val="10"/>
      <color rgb="FF000000"/>
      <name val="Arial"/>
      <family val="2"/>
    </font>
    <font>
      <b/>
      <sz val="8"/>
      <name val="Arial"/>
      <family val="2"/>
    </font>
    <font>
      <sz val="8"/>
      <color indexed="58"/>
      <name val="Arial"/>
      <family val="2"/>
    </font>
    <font>
      <u val="single"/>
      <sz val="10"/>
      <name val="Arial CE"/>
      <family val="2"/>
    </font>
    <font>
      <sz val="8"/>
      <color indexed="25"/>
      <name val="Arial CE"/>
      <family val="2"/>
    </font>
    <font>
      <sz val="10"/>
      <color indexed="25"/>
      <name val="Arial CE"/>
      <family val="2"/>
    </font>
    <font>
      <i/>
      <sz val="9"/>
      <name val="Arial CE"/>
      <family val="2"/>
    </font>
    <font>
      <i/>
      <sz val="10"/>
      <color indexed="25"/>
      <name val="Arial CE"/>
      <family val="2"/>
    </font>
    <font>
      <i/>
      <vertAlign val="superscript"/>
      <sz val="9"/>
      <name val="Arial CE"/>
      <family val="2"/>
    </font>
    <font>
      <b/>
      <vertAlign val="superscript"/>
      <sz val="10"/>
      <name val="Arial CE"/>
      <family val="2"/>
    </font>
    <font>
      <b/>
      <sz val="10"/>
      <color indexed="8"/>
      <name val="Arial CE"/>
      <family val="2"/>
    </font>
    <font>
      <sz val="10"/>
      <color indexed="58"/>
      <name val="Arial CE"/>
      <family val="2"/>
    </font>
    <font>
      <i/>
      <vertAlign val="superscript"/>
      <sz val="8"/>
      <name val="Arial CE"/>
      <family val="2"/>
    </font>
    <font>
      <b/>
      <i/>
      <sz val="9"/>
      <name val="Arial CE"/>
      <family val="2"/>
    </font>
    <font>
      <b/>
      <i/>
      <sz val="8"/>
      <name val="Arial CE"/>
      <family val="2"/>
    </font>
    <font>
      <b/>
      <u val="single"/>
      <sz val="9"/>
      <name val="Arial CE"/>
      <family val="2"/>
    </font>
    <font>
      <b/>
      <sz val="9"/>
      <name val="Arial CE"/>
      <family val="2"/>
    </font>
    <font>
      <b/>
      <u val="single"/>
      <sz val="8"/>
      <name val="Arial CE"/>
      <family val="2"/>
    </font>
    <font>
      <sz val="11"/>
      <name val="Calibri"/>
      <family val="2"/>
      <scheme val="minor"/>
    </font>
    <font>
      <b/>
      <sz val="12"/>
      <name val="Arial CE"/>
      <family val="2"/>
    </font>
    <font>
      <sz val="8"/>
      <color indexed="12"/>
      <name val="Arial CE"/>
      <family val="2"/>
    </font>
    <font>
      <sz val="8"/>
      <color indexed="9"/>
      <name val="Arial CE"/>
      <family val="2"/>
    </font>
    <font>
      <sz val="8"/>
      <color indexed="17"/>
      <name val="Arial CE"/>
      <family val="2"/>
    </font>
    <font>
      <sz val="9"/>
      <name val="Tahoma"/>
      <family val="2"/>
    </font>
    <font>
      <sz val="12"/>
      <name val="Arial CE"/>
      <family val="2"/>
    </font>
    <font>
      <sz val="11"/>
      <name val="Arial CE"/>
      <family val="2"/>
    </font>
    <font>
      <b/>
      <sz val="13"/>
      <name val="Arial CE"/>
      <family val="2"/>
    </font>
    <font>
      <sz val="7"/>
      <name val="Arial CE"/>
      <family val="2"/>
    </font>
    <font>
      <sz val="10"/>
      <color rgb="FFD6E1EE"/>
      <name val="Arial CE"/>
      <family val="2"/>
    </font>
    <font>
      <sz val="8"/>
      <name val="Calibri"/>
      <family val="2"/>
      <scheme val="minor"/>
    </font>
    <font>
      <i/>
      <vertAlign val="superscript"/>
      <sz val="9"/>
      <color rgb="FF0000FF"/>
      <name val="Arial CE"/>
      <family val="2"/>
    </font>
    <font>
      <b/>
      <sz val="8"/>
      <name val="Calibri"/>
      <family val="2"/>
    </font>
  </fonts>
  <fills count="13">
    <fill>
      <patternFill/>
    </fill>
    <fill>
      <patternFill patternType="gray125"/>
    </fill>
    <fill>
      <patternFill patternType="solid">
        <fgColor indexed="57"/>
        <bgColor indexed="64"/>
      </patternFill>
    </fill>
    <fill>
      <patternFill patternType="solid">
        <fgColor theme="0" tint="-0.24997000396251678"/>
        <bgColor indexed="64"/>
      </patternFill>
    </fill>
    <fill>
      <patternFill patternType="solid">
        <fgColor rgb="FFD2D2D2"/>
        <bgColor indexed="64"/>
      </patternFill>
    </fill>
    <fill>
      <patternFill patternType="solid">
        <fgColor indexed="9"/>
        <bgColor indexed="64"/>
      </patternFill>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indexed="9"/>
        <bgColor indexed="64"/>
      </patternFill>
    </fill>
  </fills>
  <borders count="100">
    <border>
      <left/>
      <right/>
      <top/>
      <bottom/>
      <diagonal/>
    </border>
    <border>
      <left style="thin"/>
      <right/>
      <top/>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top/>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medium"/>
      <bottom/>
    </border>
    <border>
      <left/>
      <right/>
      <top style="medium"/>
      <bottom/>
    </border>
    <border>
      <left/>
      <right style="thin"/>
      <top style="medium"/>
      <bottom/>
    </border>
    <border>
      <left/>
      <right/>
      <top style="hair">
        <color rgb="FF969696"/>
      </top>
      <bottom/>
    </border>
    <border>
      <left/>
      <right/>
      <top/>
      <bottom style="thin">
        <color rgb="FF000000"/>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double">
        <color indexed="8"/>
      </left>
      <right style="thin">
        <color indexed="8"/>
      </right>
      <top style="medium">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medium">
        <color indexed="8"/>
      </top>
      <bottom style="thin">
        <color indexed="8"/>
      </bottom>
    </border>
    <border>
      <left/>
      <right/>
      <top style="medium">
        <color indexed="8"/>
      </top>
      <bottom style="thin">
        <color indexed="8"/>
      </bottom>
    </border>
    <border>
      <left style="double">
        <color indexed="8"/>
      </left>
      <right style="thin">
        <color indexed="8"/>
      </right>
      <top/>
      <bottom style="thin">
        <color indexed="8"/>
      </bottom>
    </border>
    <border>
      <left/>
      <right/>
      <top/>
      <bottom style="thin">
        <color indexed="8"/>
      </bottom>
    </border>
    <border>
      <left style="double">
        <color indexed="8"/>
      </left>
      <right style="thin">
        <color indexed="8"/>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double">
        <color indexed="8"/>
      </left>
      <right style="thin">
        <color indexed="8"/>
      </right>
      <top/>
      <bottom/>
    </border>
    <border>
      <left style="hair">
        <color indexed="8"/>
      </left>
      <right style="hair">
        <color indexed="8"/>
      </right>
      <top style="hair">
        <color indexed="8"/>
      </top>
      <bottom style="hair">
        <color indexed="8"/>
      </bottom>
    </border>
    <border>
      <left style="thin">
        <color indexed="8"/>
      </left>
      <right style="thin">
        <color indexed="8"/>
      </right>
      <top/>
      <bottom/>
    </border>
    <border>
      <left style="thin"/>
      <right style="thin"/>
      <top style="thin"/>
      <bottom style="thin"/>
    </border>
    <border>
      <left/>
      <right/>
      <top style="thin"/>
      <bottom style="thin"/>
    </border>
    <border>
      <left style="thin"/>
      <right/>
      <top style="thin"/>
      <bottom style="thin"/>
    </border>
    <border>
      <left style="thin"/>
      <right/>
      <top style="thin"/>
      <bottom/>
    </border>
    <border>
      <left style="thin"/>
      <right style="thin">
        <color indexed="23"/>
      </right>
      <top style="thin"/>
      <bottom style="thin"/>
    </border>
    <border>
      <left style="thin">
        <color indexed="23"/>
      </left>
      <right style="thin">
        <color indexed="23"/>
      </right>
      <top style="thin"/>
      <bottom style="thin"/>
    </border>
    <border>
      <left style="thin"/>
      <right style="thin">
        <color indexed="23"/>
      </right>
      <top style="thin"/>
      <bottom/>
    </border>
    <border>
      <left style="thin">
        <color indexed="23"/>
      </left>
      <right style="thin">
        <color indexed="23"/>
      </right>
      <top style="thin"/>
      <bottom/>
    </border>
    <border>
      <left/>
      <right style="thin"/>
      <top style="thin"/>
      <bottom style="thin"/>
    </border>
    <border>
      <left style="medium"/>
      <right/>
      <top style="medium"/>
      <bottom/>
    </border>
    <border>
      <left style="medium"/>
      <right/>
      <top/>
      <bottom style="thin"/>
    </border>
    <border>
      <left/>
      <right style="medium"/>
      <top/>
      <bottom/>
    </border>
    <border>
      <left/>
      <right style="medium"/>
      <top/>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right style="thin">
        <color indexed="23"/>
      </right>
      <top style="thin"/>
      <bottom style="thin"/>
    </border>
    <border>
      <left style="thin">
        <color indexed="8"/>
      </left>
      <right/>
      <top style="thin">
        <color indexed="8"/>
      </top>
      <bottom style="medium">
        <color indexed="8"/>
      </bottom>
    </border>
    <border>
      <left style="thin">
        <color indexed="8"/>
      </left>
      <right/>
      <top style="thin">
        <color indexed="8"/>
      </top>
      <bottom style="thin">
        <color indexed="8"/>
      </bottom>
    </border>
    <border>
      <left style="thin">
        <color indexed="8"/>
      </left>
      <right/>
      <top/>
      <bottom style="thin">
        <color indexed="8"/>
      </bottom>
    </border>
    <border>
      <left style="thin">
        <color indexed="8"/>
      </left>
      <right/>
      <top style="thin">
        <color indexed="8"/>
      </top>
      <bottom/>
    </border>
    <border>
      <left style="double">
        <color indexed="8"/>
      </left>
      <right/>
      <top style="thin">
        <color indexed="8"/>
      </top>
      <bottom style="thin">
        <color indexed="8"/>
      </bottom>
    </border>
    <border>
      <left style="thin"/>
      <right style="double"/>
      <top style="thin"/>
      <bottom style="thin"/>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top style="thin">
        <color indexed="8"/>
      </top>
      <bottom style="double">
        <color indexed="8"/>
      </bottom>
    </border>
    <border>
      <left style="thin"/>
      <right style="double"/>
      <top style="thin"/>
      <bottom style="double">
        <color indexed="8"/>
      </bottom>
    </border>
    <border>
      <left style="thin"/>
      <right style="double"/>
      <top/>
      <bottom style="thin"/>
    </border>
    <border>
      <left style="thin"/>
      <right style="double"/>
      <top style="thin"/>
      <bottom style="medium"/>
    </border>
    <border>
      <left style="medium"/>
      <right/>
      <top style="medium"/>
      <bottom style="thin"/>
    </border>
    <border>
      <left/>
      <right/>
      <top style="medium"/>
      <bottom style="thin"/>
    </border>
    <border>
      <left/>
      <right style="medium"/>
      <top style="medium"/>
      <bottom style="thin"/>
    </border>
    <border>
      <left/>
      <right style="thin"/>
      <top style="thin"/>
      <bottom/>
    </border>
    <border>
      <left style="thin"/>
      <right/>
      <top/>
      <bottom style="medium"/>
    </border>
    <border>
      <left/>
      <right style="thin"/>
      <top/>
      <bottom style="mediu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top style="double">
        <color indexed="8"/>
      </top>
      <bottom style="thin">
        <color indexed="8"/>
      </bottom>
    </border>
    <border>
      <left style="thin"/>
      <right style="double"/>
      <top style="double">
        <color indexed="8"/>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9" fillId="0" borderId="0">
      <alignment/>
      <protection/>
    </xf>
    <xf numFmtId="0" fontId="9" fillId="0" borderId="0">
      <alignment/>
      <protection/>
    </xf>
    <xf numFmtId="0" fontId="23" fillId="0" borderId="0">
      <alignment/>
      <protection/>
    </xf>
  </cellStyleXfs>
  <cellXfs count="660">
    <xf numFmtId="0" fontId="0" fillId="0" borderId="0" xfId="0"/>
    <xf numFmtId="0" fontId="1" fillId="0" borderId="0" xfId="0" applyFont="1" applyAlignment="1">
      <alignment vertical="center"/>
    </xf>
    <xf numFmtId="0" fontId="1" fillId="0" borderId="1" xfId="0" applyFont="1" applyBorder="1" applyAlignment="1">
      <alignment vertical="center"/>
    </xf>
    <xf numFmtId="49" fontId="1" fillId="0" borderId="0" xfId="0" applyNumberFormat="1" applyFont="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1" fillId="0" borderId="6" xfId="0" applyFont="1" applyBorder="1" applyAlignment="1">
      <alignment vertical="center"/>
    </xf>
    <xf numFmtId="49" fontId="3" fillId="2" borderId="0" xfId="0" applyNumberFormat="1" applyFont="1" applyFill="1" applyAlignment="1">
      <alignment horizontal="right" vertical="center"/>
    </xf>
    <xf numFmtId="49" fontId="3" fillId="0" borderId="0" xfId="0" applyNumberFormat="1" applyFont="1" applyAlignment="1">
      <alignment horizontal="right" vertical="center"/>
    </xf>
    <xf numFmtId="49" fontId="1" fillId="0" borderId="7" xfId="0" applyNumberFormat="1" applyFont="1" applyBorder="1" applyAlignment="1">
      <alignment horizontal="left" vertical="center"/>
    </xf>
    <xf numFmtId="49" fontId="1" fillId="0" borderId="8" xfId="0" applyNumberFormat="1" applyFont="1" applyBorder="1" applyAlignment="1">
      <alignment horizontal="left"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 fontId="3" fillId="2" borderId="0" xfId="0" applyNumberFormat="1" applyFont="1" applyFill="1" applyAlignment="1">
      <alignment horizontal="right" vertical="center"/>
    </xf>
    <xf numFmtId="49" fontId="1" fillId="0" borderId="1" xfId="0" applyNumberFormat="1" applyFont="1" applyBorder="1" applyAlignment="1">
      <alignment horizontal="left" vertical="center"/>
    </xf>
    <xf numFmtId="4" fontId="1" fillId="0" borderId="0" xfId="0" applyNumberFormat="1" applyFont="1" applyAlignment="1">
      <alignment horizontal="right" vertical="center"/>
    </xf>
    <xf numFmtId="49" fontId="1" fillId="0" borderId="14" xfId="0" applyNumberFormat="1" applyFont="1" applyBorder="1" applyAlignment="1">
      <alignment horizontal="right" vertical="center"/>
    </xf>
    <xf numFmtId="49" fontId="1" fillId="0" borderId="0" xfId="0" applyNumberFormat="1" applyFont="1" applyAlignment="1">
      <alignment horizontal="right" vertical="center"/>
    </xf>
    <xf numFmtId="49" fontId="4" fillId="0" borderId="0" xfId="0" applyNumberFormat="1" applyFont="1" applyAlignment="1">
      <alignment horizontal="left" vertical="center"/>
    </xf>
    <xf numFmtId="4" fontId="4" fillId="0" borderId="0" xfId="0" applyNumberFormat="1" applyFont="1" applyAlignment="1">
      <alignment horizontal="right" vertical="center"/>
    </xf>
    <xf numFmtId="0" fontId="1" fillId="0" borderId="14" xfId="0" applyFont="1" applyBorder="1" applyAlignment="1">
      <alignment vertical="center"/>
    </xf>
    <xf numFmtId="49" fontId="4" fillId="0" borderId="0" xfId="0" applyNumberFormat="1" applyFont="1" applyAlignment="1">
      <alignment horizontal="right" vertical="top"/>
    </xf>
    <xf numFmtId="49" fontId="1" fillId="0" borderId="15" xfId="0" applyNumberFormat="1" applyFont="1" applyBorder="1" applyAlignment="1">
      <alignment horizontal="left" vertical="center"/>
    </xf>
    <xf numFmtId="49" fontId="1" fillId="0" borderId="16" xfId="0" applyNumberFormat="1" applyFont="1" applyBorder="1" applyAlignment="1">
      <alignment horizontal="left" vertical="center"/>
    </xf>
    <xf numFmtId="4" fontId="1" fillId="0" borderId="16" xfId="0" applyNumberFormat="1" applyFont="1" applyBorder="1" applyAlignment="1">
      <alignment horizontal="right" vertical="center"/>
    </xf>
    <xf numFmtId="49" fontId="1" fillId="0" borderId="17" xfId="0" applyNumberFormat="1" applyFont="1" applyBorder="1" applyAlignment="1">
      <alignment horizontal="right" vertical="center"/>
    </xf>
    <xf numFmtId="0" fontId="1" fillId="0" borderId="18" xfId="0" applyFont="1" applyBorder="1" applyAlignment="1">
      <alignment vertical="center"/>
    </xf>
    <xf numFmtId="4" fontId="3" fillId="0" borderId="18" xfId="0" applyNumberFormat="1" applyFont="1" applyBorder="1" applyAlignment="1">
      <alignment horizontal="right" vertical="center"/>
    </xf>
    <xf numFmtId="49" fontId="5" fillId="0" borderId="0" xfId="0" applyNumberFormat="1" applyFont="1" applyAlignment="1">
      <alignment horizontal="left" vertical="center"/>
    </xf>
    <xf numFmtId="49" fontId="1" fillId="3" borderId="19" xfId="0" applyNumberFormat="1" applyFont="1" applyFill="1" applyBorder="1" applyAlignment="1">
      <alignment horizontal="left" vertical="center"/>
    </xf>
    <xf numFmtId="49" fontId="3" fillId="3" borderId="20" xfId="0" applyNumberFormat="1" applyFont="1" applyFill="1" applyBorder="1" applyAlignment="1">
      <alignment horizontal="left" vertical="center"/>
    </xf>
    <xf numFmtId="49" fontId="1" fillId="3" borderId="20" xfId="0" applyNumberFormat="1" applyFont="1" applyFill="1" applyBorder="1" applyAlignment="1">
      <alignment horizontal="left" vertical="center"/>
    </xf>
    <xf numFmtId="4" fontId="3" fillId="3" borderId="20" xfId="0" applyNumberFormat="1" applyFont="1" applyFill="1" applyBorder="1" applyAlignment="1">
      <alignment horizontal="right" vertical="center"/>
    </xf>
    <xf numFmtId="49" fontId="3" fillId="3" borderId="20" xfId="0" applyNumberFormat="1" applyFont="1" applyFill="1" applyBorder="1" applyAlignment="1">
      <alignment horizontal="right" vertical="center"/>
    </xf>
    <xf numFmtId="49" fontId="3" fillId="3" borderId="21" xfId="0" applyNumberFormat="1" applyFont="1" applyFill="1" applyBorder="1" applyAlignment="1">
      <alignment horizontal="right" vertical="center"/>
    </xf>
    <xf numFmtId="49" fontId="1" fillId="3" borderId="1" xfId="0" applyNumberFormat="1" applyFont="1" applyFill="1" applyBorder="1" applyAlignment="1">
      <alignment horizontal="left" vertical="center"/>
    </xf>
    <xf numFmtId="49" fontId="3" fillId="3" borderId="0" xfId="0" applyNumberFormat="1" applyFont="1" applyFill="1" applyAlignment="1">
      <alignment horizontal="left" vertical="center"/>
    </xf>
    <xf numFmtId="49" fontId="1" fillId="3" borderId="0" xfId="0" applyNumberFormat="1" applyFont="1" applyFill="1" applyAlignment="1">
      <alignment horizontal="left" vertical="center"/>
    </xf>
    <xf numFmtId="4" fontId="3" fillId="3" borderId="0" xfId="0" applyNumberFormat="1" applyFont="1" applyFill="1" applyAlignment="1">
      <alignment horizontal="right" vertical="center"/>
    </xf>
    <xf numFmtId="49" fontId="3" fillId="3" borderId="0" xfId="0" applyNumberFormat="1" applyFont="1" applyFill="1" applyAlignment="1">
      <alignment horizontal="right" vertical="center"/>
    </xf>
    <xf numFmtId="49" fontId="3" fillId="3" borderId="14" xfId="0" applyNumberFormat="1" applyFont="1" applyFill="1"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1" fillId="4" borderId="25"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0" xfId="0" applyFont="1" applyFill="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165" fontId="15" fillId="0" borderId="22" xfId="0" applyNumberFormat="1" applyFont="1" applyBorder="1"/>
    <xf numFmtId="165" fontId="15" fillId="0" borderId="29" xfId="0" applyNumberFormat="1" applyFont="1" applyBorder="1"/>
    <xf numFmtId="4" fontId="16" fillId="0" borderId="0" xfId="0" applyNumberFormat="1" applyFont="1" applyAlignment="1">
      <alignment vertical="center"/>
    </xf>
    <xf numFmtId="0" fontId="17" fillId="0" borderId="0" xfId="0" applyFont="1"/>
    <xf numFmtId="0" fontId="17" fillId="0" borderId="0" xfId="0" applyFont="1" applyAlignment="1">
      <alignment horizontal="left"/>
    </xf>
    <xf numFmtId="0" fontId="17" fillId="0" borderId="30" xfId="0" applyFont="1" applyBorder="1"/>
    <xf numFmtId="165" fontId="17" fillId="0" borderId="0" xfId="0" applyNumberFormat="1" applyFont="1"/>
    <xf numFmtId="165" fontId="17" fillId="0" borderId="31" xfId="0" applyNumberFormat="1" applyFont="1" applyBorder="1"/>
    <xf numFmtId="0" fontId="17" fillId="0" borderId="0" xfId="0" applyFont="1" applyAlignment="1">
      <alignment horizontal="center"/>
    </xf>
    <xf numFmtId="4" fontId="17" fillId="0" borderId="0" xfId="0" applyNumberFormat="1" applyFont="1" applyAlignment="1">
      <alignment vertical="center"/>
    </xf>
    <xf numFmtId="0" fontId="14" fillId="0" borderId="30" xfId="0" applyFont="1" applyBorder="1" applyAlignment="1">
      <alignment horizontal="left" vertical="center"/>
    </xf>
    <xf numFmtId="0" fontId="14" fillId="0" borderId="0" xfId="0" applyFont="1" applyAlignment="1">
      <alignment horizontal="center" vertical="center"/>
    </xf>
    <xf numFmtId="165" fontId="14" fillId="0" borderId="0" xfId="0" applyNumberFormat="1" applyFont="1" applyAlignment="1">
      <alignment vertical="center"/>
    </xf>
    <xf numFmtId="165" fontId="14" fillId="0" borderId="31" xfId="0" applyNumberFormat="1" applyFont="1" applyBorder="1" applyAlignment="1">
      <alignment vertical="center"/>
    </xf>
    <xf numFmtId="0" fontId="11" fillId="0" borderId="0" xfId="0" applyFont="1" applyAlignment="1">
      <alignment horizontal="left" vertical="center"/>
    </xf>
    <xf numFmtId="4" fontId="0" fillId="0" borderId="0" xfId="0" applyNumberFormat="1" applyAlignment="1">
      <alignment vertical="center"/>
    </xf>
    <xf numFmtId="0" fontId="18" fillId="0" borderId="30" xfId="0" applyFont="1" applyBorder="1" applyAlignment="1">
      <alignment horizontal="left" vertical="center"/>
    </xf>
    <xf numFmtId="0" fontId="18" fillId="0" borderId="0" xfId="0" applyFont="1" applyAlignment="1">
      <alignment horizontal="center" vertical="center"/>
    </xf>
    <xf numFmtId="0" fontId="11" fillId="0" borderId="32" xfId="0" applyFont="1" applyBorder="1" applyAlignment="1">
      <alignment horizontal="center" vertical="center"/>
    </xf>
    <xf numFmtId="49" fontId="11" fillId="0" borderId="32" xfId="0" applyNumberFormat="1" applyFont="1" applyBorder="1" applyAlignment="1">
      <alignment horizontal="left" vertical="center" wrapText="1"/>
    </xf>
    <xf numFmtId="0" fontId="11" fillId="0" borderId="32" xfId="0" applyFont="1" applyBorder="1" applyAlignment="1">
      <alignment horizontal="left" vertical="center" wrapText="1"/>
    </xf>
    <xf numFmtId="0" fontId="11" fillId="0" borderId="32" xfId="0" applyFont="1" applyBorder="1" applyAlignment="1">
      <alignment horizontal="center" vertical="center" wrapText="1"/>
    </xf>
    <xf numFmtId="166" fontId="11" fillId="0" borderId="32" xfId="0" applyNumberFormat="1" applyFont="1" applyBorder="1" applyAlignment="1">
      <alignment vertical="center"/>
    </xf>
    <xf numFmtId="4" fontId="11" fillId="0" borderId="32" xfId="0" applyNumberFormat="1" applyFont="1" applyBorder="1" applyAlignment="1">
      <alignment vertical="center"/>
    </xf>
    <xf numFmtId="0" fontId="18" fillId="0" borderId="32" xfId="0" applyFont="1" applyBorder="1" applyAlignment="1">
      <alignment horizontal="center" vertical="center"/>
    </xf>
    <xf numFmtId="49" fontId="18" fillId="0" borderId="32" xfId="0" applyNumberFormat="1" applyFont="1" applyBorder="1" applyAlignment="1">
      <alignment horizontal="left" vertical="center" wrapText="1"/>
    </xf>
    <xf numFmtId="0" fontId="18" fillId="0" borderId="32" xfId="0" applyFont="1" applyBorder="1" applyAlignment="1">
      <alignment horizontal="left" vertical="center" wrapText="1"/>
    </xf>
    <xf numFmtId="0" fontId="18" fillId="0" borderId="32" xfId="0" applyFont="1" applyBorder="1" applyAlignment="1">
      <alignment horizontal="center" vertical="center" wrapText="1"/>
    </xf>
    <xf numFmtId="166" fontId="18" fillId="0" borderId="32" xfId="0" applyNumberFormat="1" applyFont="1" applyBorder="1" applyAlignment="1">
      <alignment vertical="center"/>
    </xf>
    <xf numFmtId="4" fontId="18" fillId="0" borderId="32" xfId="0" applyNumberFormat="1" applyFont="1" applyBorder="1" applyAlignment="1">
      <alignment vertical="center"/>
    </xf>
    <xf numFmtId="0" fontId="14" fillId="0" borderId="33" xfId="0" applyFont="1" applyBorder="1" applyAlignment="1">
      <alignment horizontal="left" vertical="center"/>
    </xf>
    <xf numFmtId="0" fontId="14" fillId="0" borderId="34" xfId="0" applyFont="1" applyBorder="1" applyAlignment="1">
      <alignment horizontal="center" vertical="center"/>
    </xf>
    <xf numFmtId="165" fontId="14" fillId="0" borderId="34" xfId="0" applyNumberFormat="1" applyFont="1" applyBorder="1" applyAlignment="1">
      <alignment vertical="center"/>
    </xf>
    <xf numFmtId="165" fontId="14" fillId="0" borderId="35" xfId="0" applyNumberFormat="1" applyFont="1" applyBorder="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31"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23" fillId="0" borderId="36" xfId="0" applyFont="1" applyBorder="1" applyAlignment="1">
      <alignment horizontal="center" vertical="center"/>
    </xf>
    <xf numFmtId="0" fontId="24" fillId="0" borderId="37" xfId="0" applyFont="1" applyBorder="1" applyAlignment="1">
      <alignment horizontal="center" vertical="center"/>
    </xf>
    <xf numFmtId="0" fontId="25" fillId="0" borderId="37" xfId="0" applyFont="1" applyBorder="1" applyAlignment="1">
      <alignment horizontal="left"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4" fontId="23" fillId="0" borderId="38" xfId="0" applyNumberFormat="1" applyFont="1" applyBorder="1" applyAlignment="1">
      <alignment horizontal="center" vertical="center"/>
    </xf>
    <xf numFmtId="165" fontId="23" fillId="0" borderId="38" xfId="0" applyNumberFormat="1" applyFont="1" applyBorder="1" applyAlignment="1">
      <alignment horizontal="center" vertical="center"/>
    </xf>
    <xf numFmtId="0" fontId="26" fillId="0" borderId="40" xfId="0" applyFont="1" applyBorder="1" applyAlignment="1">
      <alignment horizontal="center" vertical="center"/>
    </xf>
    <xf numFmtId="0" fontId="26" fillId="0" borderId="37" xfId="0" applyFont="1" applyBorder="1" applyAlignment="1">
      <alignment horizontal="left" vertical="center"/>
    </xf>
    <xf numFmtId="0" fontId="23" fillId="0" borderId="37" xfId="0" applyFont="1" applyBorder="1" applyAlignment="1">
      <alignment horizontal="center" vertical="center"/>
    </xf>
    <xf numFmtId="0" fontId="23" fillId="0" borderId="41" xfId="0" applyFont="1" applyBorder="1" applyAlignment="1">
      <alignment horizontal="center" vertical="center"/>
    </xf>
    <xf numFmtId="4" fontId="23" fillId="0" borderId="37" xfId="0" applyNumberFormat="1" applyFont="1" applyBorder="1" applyAlignment="1">
      <alignment horizontal="center" vertical="center"/>
    </xf>
    <xf numFmtId="165" fontId="23" fillId="0" borderId="37" xfId="0" applyNumberFormat="1" applyFont="1"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left" vertical="center"/>
    </xf>
    <xf numFmtId="0" fontId="0" fillId="0" borderId="41" xfId="0" applyBorder="1" applyAlignment="1">
      <alignment horizontal="center" vertical="center"/>
    </xf>
    <xf numFmtId="4" fontId="0" fillId="0" borderId="37" xfId="0" applyNumberFormat="1" applyBorder="1" applyAlignment="1">
      <alignment horizontal="center" vertical="center"/>
    </xf>
    <xf numFmtId="165" fontId="0" fillId="0" borderId="37" xfId="0" applyNumberFormat="1" applyBorder="1" applyAlignment="1">
      <alignment horizontal="center" vertical="center"/>
    </xf>
    <xf numFmtId="0" fontId="23" fillId="0" borderId="0" xfId="0" applyFont="1"/>
    <xf numFmtId="0" fontId="29" fillId="0" borderId="37" xfId="0" applyFont="1" applyBorder="1" applyAlignment="1">
      <alignment horizontal="left" vertical="center"/>
    </xf>
    <xf numFmtId="0" fontId="9" fillId="0" borderId="37" xfId="0" applyFont="1" applyBorder="1" applyAlignment="1">
      <alignment horizontal="left" vertical="center"/>
    </xf>
    <xf numFmtId="0" fontId="24" fillId="0" borderId="37" xfId="0" applyFont="1" applyBorder="1" applyAlignment="1">
      <alignment horizontal="right" vertical="center"/>
    </xf>
    <xf numFmtId="4" fontId="24" fillId="0" borderId="37" xfId="0" applyNumberFormat="1" applyFont="1" applyBorder="1" applyAlignment="1">
      <alignment horizontal="center" vertical="center"/>
    </xf>
    <xf numFmtId="1" fontId="0" fillId="0" borderId="42" xfId="0" applyNumberFormat="1" applyBorder="1" applyAlignment="1">
      <alignment horizontal="center" vertical="center"/>
    </xf>
    <xf numFmtId="3" fontId="0" fillId="0" borderId="37" xfId="0" applyNumberFormat="1" applyBorder="1" applyAlignment="1">
      <alignment horizontal="center" vertical="center"/>
    </xf>
    <xf numFmtId="0" fontId="0" fillId="0" borderId="43" xfId="0" applyBorder="1" applyAlignment="1">
      <alignment horizontal="center" vertical="center"/>
    </xf>
    <xf numFmtId="173" fontId="0" fillId="0" borderId="43" xfId="0" applyNumberFormat="1" applyBorder="1" applyAlignment="1">
      <alignment horizontal="center" vertical="center"/>
    </xf>
    <xf numFmtId="4" fontId="0" fillId="0" borderId="43" xfId="0" applyNumberFormat="1" applyBorder="1" applyAlignment="1">
      <alignment horizontal="right" vertical="center"/>
    </xf>
    <xf numFmtId="171" fontId="0" fillId="0" borderId="43" xfId="0" applyNumberFormat="1" applyBorder="1" applyAlignment="1">
      <alignment horizontal="right" vertical="center"/>
    </xf>
    <xf numFmtId="49" fontId="0" fillId="0" borderId="37" xfId="0" applyNumberFormat="1" applyBorder="1" applyAlignment="1">
      <alignment horizontal="center" vertical="center"/>
    </xf>
    <xf numFmtId="0" fontId="45" fillId="0" borderId="0" xfId="0" applyFont="1"/>
    <xf numFmtId="49" fontId="47" fillId="0" borderId="37" xfId="0" applyNumberFormat="1" applyFont="1" applyBorder="1" applyAlignment="1">
      <alignment horizontal="left" vertical="center"/>
    </xf>
    <xf numFmtId="49" fontId="26" fillId="0" borderId="37" xfId="0" applyNumberFormat="1" applyFont="1" applyBorder="1" applyAlignment="1">
      <alignment horizontal="left" vertical="center"/>
    </xf>
    <xf numFmtId="49" fontId="0" fillId="0" borderId="43" xfId="0" applyNumberFormat="1" applyBorder="1" applyAlignment="1">
      <alignment horizontal="center" vertical="center"/>
    </xf>
    <xf numFmtId="1" fontId="0" fillId="0" borderId="43" xfId="0" applyNumberFormat="1" applyBorder="1" applyAlignment="1">
      <alignment horizontal="center" vertical="center"/>
    </xf>
    <xf numFmtId="0" fontId="46" fillId="0" borderId="0" xfId="0" applyFont="1"/>
    <xf numFmtId="49" fontId="0" fillId="0" borderId="37" xfId="0" applyNumberFormat="1" applyBorder="1" applyAlignment="1">
      <alignment horizontal="left" vertical="center"/>
    </xf>
    <xf numFmtId="0" fontId="0" fillId="0" borderId="42" xfId="0" applyBorder="1" applyAlignment="1">
      <alignment horizontal="center" vertical="center"/>
    </xf>
    <xf numFmtId="49" fontId="0" fillId="0" borderId="44" xfId="0" applyNumberFormat="1" applyBorder="1" applyAlignment="1">
      <alignment horizontal="center" vertical="center"/>
    </xf>
    <xf numFmtId="4" fontId="0" fillId="0" borderId="43" xfId="0" applyNumberFormat="1" applyBorder="1" applyAlignment="1">
      <alignment vertical="center"/>
    </xf>
    <xf numFmtId="49" fontId="26" fillId="0" borderId="43" xfId="0" applyNumberFormat="1" applyFont="1" applyBorder="1" applyAlignment="1">
      <alignment horizontal="left" vertical="center"/>
    </xf>
    <xf numFmtId="0" fontId="0" fillId="0" borderId="45" xfId="0" applyBorder="1" applyAlignment="1">
      <alignment horizontal="center" vertical="center"/>
    </xf>
    <xf numFmtId="4" fontId="0" fillId="0" borderId="37" xfId="0" applyNumberFormat="1" applyBorder="1" applyAlignment="1">
      <alignment horizontal="right" vertical="center"/>
    </xf>
    <xf numFmtId="3" fontId="0" fillId="0" borderId="43" xfId="0" applyNumberFormat="1" applyBorder="1" applyAlignment="1">
      <alignment horizontal="center" vertical="center"/>
    </xf>
    <xf numFmtId="171" fontId="0" fillId="0" borderId="43" xfId="0" applyNumberFormat="1" applyBorder="1" applyAlignment="1">
      <alignment horizontal="center" vertical="center"/>
    </xf>
    <xf numFmtId="49" fontId="44" fillId="0" borderId="43" xfId="0" applyNumberFormat="1" applyFont="1" applyBorder="1" applyAlignment="1">
      <alignment horizontal="left" vertical="center"/>
    </xf>
    <xf numFmtId="1" fontId="0" fillId="0" borderId="40" xfId="0" applyNumberFormat="1" applyBorder="1" applyAlignment="1">
      <alignment horizontal="center" vertical="center"/>
    </xf>
    <xf numFmtId="171" fontId="0" fillId="0" borderId="37" xfId="0" applyNumberFormat="1" applyBorder="1" applyAlignment="1">
      <alignment horizontal="right" vertical="center"/>
    </xf>
    <xf numFmtId="2" fontId="0" fillId="0" borderId="37" xfId="0" applyNumberFormat="1" applyBorder="1" applyAlignment="1">
      <alignment horizontal="right" vertical="center"/>
    </xf>
    <xf numFmtId="0" fontId="0" fillId="0" borderId="37" xfId="0" applyBorder="1" applyAlignment="1">
      <alignment horizontal="right" vertical="center"/>
    </xf>
    <xf numFmtId="170" fontId="0" fillId="0" borderId="37" xfId="0" applyNumberFormat="1" applyBorder="1" applyAlignment="1">
      <alignment horizontal="center" vertical="center"/>
    </xf>
    <xf numFmtId="0" fontId="0" fillId="0" borderId="46" xfId="0" applyBorder="1" applyAlignment="1">
      <alignment wrapText="1"/>
    </xf>
    <xf numFmtId="1" fontId="0" fillId="0" borderId="45" xfId="0" applyNumberFormat="1" applyBorder="1" applyAlignment="1">
      <alignment horizontal="center" vertical="center"/>
    </xf>
    <xf numFmtId="171" fontId="0" fillId="0" borderId="47" xfId="0" applyNumberFormat="1" applyBorder="1" applyAlignment="1">
      <alignment horizontal="center" vertical="center"/>
    </xf>
    <xf numFmtId="49" fontId="0" fillId="0" borderId="46" xfId="0" applyNumberFormat="1" applyBorder="1" applyAlignment="1">
      <alignment horizontal="right" vertical="center"/>
    </xf>
    <xf numFmtId="0" fontId="22" fillId="0" borderId="0" xfId="0" applyFont="1"/>
    <xf numFmtId="4" fontId="22" fillId="0" borderId="0" xfId="0" applyNumberFormat="1" applyFont="1"/>
    <xf numFmtId="0" fontId="23" fillId="0" borderId="0" xfId="0" applyFont="1" applyAlignment="1">
      <alignment horizontal="center" vertical="center"/>
    </xf>
    <xf numFmtId="0" fontId="28" fillId="0" borderId="0" xfId="0" applyFont="1" applyAlignment="1">
      <alignment vertical="center"/>
    </xf>
    <xf numFmtId="0" fontId="1" fillId="0" borderId="0" xfId="0" applyFont="1"/>
    <xf numFmtId="0" fontId="1" fillId="0" borderId="0" xfId="0" applyFont="1" applyAlignment="1">
      <alignment horizontal="center"/>
    </xf>
    <xf numFmtId="167" fontId="1" fillId="0" borderId="0" xfId="0" applyNumberFormat="1" applyFont="1"/>
    <xf numFmtId="0" fontId="30" fillId="0" borderId="0" xfId="0" applyFont="1" applyAlignment="1">
      <alignment horizontal="center" vertical="top" wrapText="1"/>
    </xf>
    <xf numFmtId="167" fontId="30" fillId="0" borderId="0" xfId="0" applyNumberFormat="1" applyFont="1" applyAlignment="1">
      <alignment horizontal="center" vertical="top" wrapText="1"/>
    </xf>
    <xf numFmtId="0" fontId="35" fillId="0" borderId="0" xfId="0" applyFont="1" applyAlignment="1">
      <alignment vertical="top" wrapText="1"/>
    </xf>
    <xf numFmtId="0" fontId="1" fillId="0" borderId="0" xfId="0" applyFont="1" applyAlignment="1">
      <alignment horizontal="right" vertical="top" wrapText="1"/>
    </xf>
    <xf numFmtId="0" fontId="36" fillId="0" borderId="0" xfId="0" applyFont="1" applyAlignment="1">
      <alignment vertical="top" wrapText="1"/>
    </xf>
    <xf numFmtId="0" fontId="1" fillId="0" borderId="0" xfId="0" applyFont="1" applyAlignment="1">
      <alignment horizontal="center" vertical="top" wrapText="1"/>
    </xf>
    <xf numFmtId="0" fontId="1" fillId="5" borderId="0" xfId="0" applyFont="1" applyFill="1" applyAlignment="1">
      <alignment horizontal="center" vertical="top" wrapText="1"/>
    </xf>
    <xf numFmtId="167" fontId="1" fillId="0" borderId="0" xfId="0" applyNumberFormat="1" applyFont="1" applyAlignment="1">
      <alignment horizontal="center" vertical="top" wrapText="1"/>
    </xf>
    <xf numFmtId="0" fontId="1" fillId="5" borderId="0" xfId="0" applyFont="1" applyFill="1" applyAlignment="1">
      <alignment horizontal="right" vertical="top" wrapText="1"/>
    </xf>
    <xf numFmtId="0" fontId="37" fillId="0" borderId="0" xfId="0" applyFont="1" applyAlignment="1">
      <alignment horizontal="right" vertical="top" wrapText="1"/>
    </xf>
    <xf numFmtId="0" fontId="38" fillId="0" borderId="0" xfId="0" applyFont="1" applyAlignment="1">
      <alignment horizontal="left" vertical="top" wrapText="1"/>
    </xf>
    <xf numFmtId="0" fontId="37" fillId="0" borderId="0" xfId="0" applyFont="1" applyAlignment="1">
      <alignment horizontal="center" vertical="top" wrapText="1"/>
    </xf>
    <xf numFmtId="0" fontId="39" fillId="5" borderId="0" xfId="0" applyFont="1" applyFill="1" applyAlignment="1">
      <alignment horizontal="center" vertical="top" wrapText="1"/>
    </xf>
    <xf numFmtId="167" fontId="39" fillId="0" borderId="0" xfId="0" applyNumberFormat="1" applyFont="1" applyAlignment="1">
      <alignment horizontal="center" vertical="top" wrapText="1"/>
    </xf>
    <xf numFmtId="168" fontId="40" fillId="0" borderId="0" xfId="0" applyNumberFormat="1" applyFont="1" applyAlignment="1">
      <alignment horizontal="right" vertical="top" wrapText="1"/>
    </xf>
    <xf numFmtId="169" fontId="39" fillId="5" borderId="0" xfId="0" applyNumberFormat="1" applyFont="1" applyFill="1" applyAlignment="1">
      <alignment horizontal="right" vertical="top" wrapText="1"/>
    </xf>
    <xf numFmtId="0" fontId="42" fillId="0" borderId="0" xfId="0" applyFont="1" applyAlignment="1">
      <alignment horizontal="center" vertical="top" wrapText="1"/>
    </xf>
    <xf numFmtId="0" fontId="37" fillId="0" borderId="0" xfId="0" applyFont="1" applyAlignment="1">
      <alignment vertical="top" wrapText="1"/>
    </xf>
    <xf numFmtId="49" fontId="37" fillId="0" borderId="0" xfId="0" applyNumberFormat="1" applyFont="1" applyAlignment="1">
      <alignment horizontal="center" vertical="top" wrapText="1"/>
    </xf>
    <xf numFmtId="4" fontId="37" fillId="0" borderId="0" xfId="0" applyNumberFormat="1" applyFont="1" applyAlignment="1">
      <alignment horizontal="center" vertical="top" wrapText="1"/>
    </xf>
    <xf numFmtId="3" fontId="42" fillId="5" borderId="0" xfId="0" applyNumberFormat="1" applyFont="1" applyFill="1" applyAlignment="1">
      <alignment horizontal="center" vertical="top" wrapText="1"/>
    </xf>
    <xf numFmtId="3" fontId="37" fillId="0" borderId="0" xfId="0" applyNumberFormat="1" applyFont="1" applyAlignment="1">
      <alignment horizontal="center" vertical="top" wrapText="1"/>
    </xf>
    <xf numFmtId="166" fontId="37" fillId="0" borderId="0" xfId="0" applyNumberFormat="1" applyFont="1" applyAlignment="1">
      <alignment horizontal="center" vertical="top" wrapText="1"/>
    </xf>
    <xf numFmtId="165" fontId="37" fillId="0" borderId="0" xfId="0" applyNumberFormat="1" applyFont="1" applyAlignment="1">
      <alignment horizontal="center" vertical="top" wrapText="1"/>
    </xf>
    <xf numFmtId="170" fontId="43" fillId="0" borderId="0" xfId="0" applyNumberFormat="1" applyFont="1" applyAlignment="1">
      <alignment horizontal="right" vertical="top" wrapText="1"/>
    </xf>
    <xf numFmtId="170" fontId="37" fillId="5" borderId="0" xfId="0" applyNumberFormat="1" applyFont="1" applyFill="1" applyAlignment="1">
      <alignment horizontal="right" vertical="top" wrapText="1"/>
    </xf>
    <xf numFmtId="3" fontId="39" fillId="5" borderId="0" xfId="0" applyNumberFormat="1" applyFont="1" applyFill="1" applyAlignment="1">
      <alignment horizontal="center" vertical="top" wrapText="1"/>
    </xf>
    <xf numFmtId="170" fontId="37" fillId="0" borderId="0" xfId="0" applyNumberFormat="1" applyFont="1" applyAlignment="1">
      <alignment horizontal="right" vertical="top" wrapText="1"/>
    </xf>
    <xf numFmtId="0" fontId="38" fillId="0" borderId="0" xfId="0" applyFont="1" applyAlignment="1">
      <alignment horizontal="right" vertical="top" wrapText="1"/>
    </xf>
    <xf numFmtId="167" fontId="38" fillId="0" borderId="0" xfId="0" applyNumberFormat="1" applyFont="1" applyAlignment="1">
      <alignment horizontal="center" vertical="top" wrapText="1"/>
    </xf>
    <xf numFmtId="4" fontId="46" fillId="0" borderId="0" xfId="0" applyNumberFormat="1" applyFont="1"/>
    <xf numFmtId="4" fontId="0" fillId="0" borderId="0" xfId="0" applyNumberFormat="1"/>
    <xf numFmtId="0" fontId="9" fillId="0" borderId="0" xfId="21">
      <alignment/>
      <protection/>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164" fontId="9" fillId="0" borderId="0" xfId="0" applyNumberFormat="1"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xf>
    <xf numFmtId="4" fontId="10" fillId="0" borderId="0" xfId="0" applyNumberFormat="1" applyFont="1"/>
    <xf numFmtId="0" fontId="12" fillId="0" borderId="0" xfId="0" applyFont="1" applyAlignment="1">
      <alignment horizontal="left"/>
    </xf>
    <xf numFmtId="4" fontId="12" fillId="0" borderId="0" xfId="0" applyNumberFormat="1" applyFont="1"/>
    <xf numFmtId="0" fontId="13" fillId="0" borderId="0" xfId="0" applyFont="1" applyAlignment="1">
      <alignment horizontal="left"/>
    </xf>
    <xf numFmtId="4" fontId="13" fillId="0" borderId="0" xfId="0" applyNumberFormat="1" applyFont="1"/>
    <xf numFmtId="0" fontId="21" fillId="0" borderId="0" xfId="0" applyFont="1" applyAlignment="1">
      <alignment horizontal="left" vertical="center"/>
    </xf>
    <xf numFmtId="0" fontId="20" fillId="0" borderId="0" xfId="0" applyFont="1" applyAlignment="1">
      <alignment horizontal="left" vertical="center" wrapText="1"/>
    </xf>
    <xf numFmtId="166" fontId="20" fillId="0" borderId="0" xfId="0" applyNumberFormat="1" applyFont="1" applyAlignment="1">
      <alignment vertical="center"/>
    </xf>
    <xf numFmtId="0" fontId="9" fillId="0" borderId="0" xfId="22">
      <alignment/>
      <protection/>
    </xf>
    <xf numFmtId="0" fontId="9" fillId="0" borderId="48" xfId="22" applyBorder="1" applyAlignment="1">
      <alignment vertical="center"/>
      <protection/>
    </xf>
    <xf numFmtId="49" fontId="9" fillId="0" borderId="49" xfId="22" applyNumberFormat="1" applyBorder="1" applyAlignment="1">
      <alignment vertical="center"/>
      <protection/>
    </xf>
    <xf numFmtId="49" fontId="9" fillId="0" borderId="0" xfId="22" applyNumberFormat="1">
      <alignment/>
      <protection/>
    </xf>
    <xf numFmtId="0" fontId="9" fillId="6" borderId="48" xfId="22" applyFill="1" applyBorder="1" applyAlignment="1">
      <alignment vertical="center"/>
      <protection/>
    </xf>
    <xf numFmtId="49" fontId="9" fillId="6" borderId="49" xfId="22" applyNumberFormat="1" applyFill="1" applyBorder="1" applyAlignment="1">
      <alignment vertical="center"/>
      <protection/>
    </xf>
    <xf numFmtId="0" fontId="9" fillId="0" borderId="0" xfId="22" applyAlignment="1">
      <alignment horizontal="center"/>
      <protection/>
    </xf>
    <xf numFmtId="0" fontId="9" fillId="7" borderId="48" xfId="22" applyFill="1" applyBorder="1">
      <alignment/>
      <protection/>
    </xf>
    <xf numFmtId="49" fontId="9" fillId="7" borderId="48" xfId="22" applyNumberFormat="1" applyFill="1" applyBorder="1">
      <alignment/>
      <protection/>
    </xf>
    <xf numFmtId="0" fontId="9" fillId="7" borderId="48" xfId="22" applyFill="1" applyBorder="1" applyAlignment="1">
      <alignment horizontal="center"/>
      <protection/>
    </xf>
    <xf numFmtId="0" fontId="9" fillId="7" borderId="50" xfId="22" applyFill="1" applyBorder="1">
      <alignment/>
      <protection/>
    </xf>
    <xf numFmtId="0" fontId="9" fillId="7" borderId="48" xfId="22" applyFill="1" applyBorder="1" applyAlignment="1">
      <alignment wrapText="1"/>
      <protection/>
    </xf>
    <xf numFmtId="0" fontId="9" fillId="0" borderId="0" xfId="22" applyAlignment="1">
      <alignment vertical="top"/>
      <protection/>
    </xf>
    <xf numFmtId="49" fontId="9" fillId="0" borderId="0" xfId="22" applyNumberFormat="1" applyAlignment="1">
      <alignment vertical="top"/>
      <protection/>
    </xf>
    <xf numFmtId="0" fontId="9" fillId="0" borderId="0" xfId="22" applyAlignment="1">
      <alignment horizontal="center" vertical="top"/>
      <protection/>
    </xf>
    <xf numFmtId="165" fontId="9" fillId="0" borderId="0" xfId="22" applyNumberFormat="1" applyAlignment="1">
      <alignment vertical="top"/>
      <protection/>
    </xf>
    <xf numFmtId="4" fontId="9" fillId="0" borderId="0" xfId="22" applyNumberFormat="1" applyAlignment="1">
      <alignment vertical="top"/>
      <protection/>
    </xf>
    <xf numFmtId="0" fontId="22" fillId="6" borderId="51" xfId="22" applyFont="1" applyFill="1" applyBorder="1" applyAlignment="1">
      <alignment vertical="top"/>
      <protection/>
    </xf>
    <xf numFmtId="49" fontId="22" fillId="6" borderId="18" xfId="22" applyNumberFormat="1" applyFont="1" applyFill="1" applyBorder="1" applyAlignment="1">
      <alignment vertical="top"/>
      <protection/>
    </xf>
    <xf numFmtId="49" fontId="22" fillId="6" borderId="18" xfId="22" applyNumberFormat="1" applyFont="1" applyFill="1" applyBorder="1" applyAlignment="1">
      <alignment horizontal="left" vertical="top" wrapText="1"/>
      <protection/>
    </xf>
    <xf numFmtId="0" fontId="22" fillId="6" borderId="18" xfId="22" applyFont="1" applyFill="1" applyBorder="1" applyAlignment="1">
      <alignment horizontal="center" vertical="top" shrinkToFit="1"/>
      <protection/>
    </xf>
    <xf numFmtId="165" fontId="22" fillId="6" borderId="18" xfId="22" applyNumberFormat="1" applyFont="1" applyFill="1" applyBorder="1" applyAlignment="1">
      <alignment vertical="top" shrinkToFit="1"/>
      <protection/>
    </xf>
    <xf numFmtId="4" fontId="22" fillId="6" borderId="18" xfId="22" applyNumberFormat="1" applyFont="1" applyFill="1" applyBorder="1" applyAlignment="1">
      <alignment vertical="top" shrinkToFit="1"/>
      <protection/>
    </xf>
    <xf numFmtId="4" fontId="22" fillId="6" borderId="0" xfId="22" applyNumberFormat="1" applyFont="1" applyFill="1" applyAlignment="1">
      <alignment vertical="top" shrinkToFit="1"/>
      <protection/>
    </xf>
    <xf numFmtId="0" fontId="23" fillId="0" borderId="52" xfId="22" applyFont="1" applyBorder="1" applyAlignment="1">
      <alignment vertical="top"/>
      <protection/>
    </xf>
    <xf numFmtId="49" fontId="23" fillId="0" borderId="53" xfId="22" applyNumberFormat="1" applyFont="1" applyBorder="1" applyAlignment="1">
      <alignment vertical="top"/>
      <protection/>
    </xf>
    <xf numFmtId="49" fontId="23" fillId="0" borderId="53" xfId="22" applyNumberFormat="1" applyFont="1" applyBorder="1" applyAlignment="1">
      <alignment horizontal="left" vertical="top" wrapText="1"/>
      <protection/>
    </xf>
    <xf numFmtId="0" fontId="23" fillId="0" borderId="53" xfId="22" applyFont="1" applyBorder="1" applyAlignment="1">
      <alignment horizontal="center" vertical="top" shrinkToFit="1"/>
      <protection/>
    </xf>
    <xf numFmtId="165" fontId="23" fillId="0" borderId="53" xfId="22" applyNumberFormat="1" applyFont="1" applyBorder="1" applyAlignment="1">
      <alignment vertical="top" shrinkToFit="1"/>
      <protection/>
    </xf>
    <xf numFmtId="4" fontId="23" fillId="8" borderId="53" xfId="22" applyNumberFormat="1" applyFont="1" applyFill="1" applyBorder="1" applyAlignment="1" applyProtection="1">
      <alignment vertical="top" shrinkToFit="1"/>
      <protection locked="0"/>
    </xf>
    <xf numFmtId="4" fontId="23" fillId="0" borderId="53" xfId="22" applyNumberFormat="1" applyFont="1" applyBorder="1" applyAlignment="1">
      <alignment vertical="top" shrinkToFit="1"/>
      <protection/>
    </xf>
    <xf numFmtId="4" fontId="23" fillId="0" borderId="0" xfId="22" applyNumberFormat="1" applyFont="1" applyAlignment="1">
      <alignment vertical="top" shrinkToFit="1"/>
      <protection/>
    </xf>
    <xf numFmtId="0" fontId="23" fillId="0" borderId="0" xfId="22" applyFont="1">
      <alignment/>
      <protection/>
    </xf>
    <xf numFmtId="0" fontId="23" fillId="0" borderId="0" xfId="22" applyFont="1" applyAlignment="1">
      <alignment vertical="top"/>
      <protection/>
    </xf>
    <xf numFmtId="49" fontId="23" fillId="0" borderId="0" xfId="22" applyNumberFormat="1" applyFont="1" applyAlignment="1">
      <alignment vertical="top"/>
      <protection/>
    </xf>
    <xf numFmtId="165" fontId="23" fillId="0" borderId="0" xfId="22" applyNumberFormat="1" applyFont="1" applyAlignment="1">
      <alignment vertical="top" shrinkToFit="1"/>
      <protection/>
    </xf>
    <xf numFmtId="165" fontId="61" fillId="0" borderId="0" xfId="22" applyNumberFormat="1" applyFont="1" applyAlignment="1" quotePrefix="1">
      <alignment horizontal="left" vertical="top" wrapText="1"/>
      <protection/>
    </xf>
    <xf numFmtId="165" fontId="61" fillId="0" borderId="0" xfId="22" applyNumberFormat="1" applyFont="1" applyAlignment="1">
      <alignment horizontal="center" vertical="top" wrapText="1" shrinkToFit="1"/>
      <protection/>
    </xf>
    <xf numFmtId="165" fontId="61" fillId="0" borderId="0" xfId="22" applyNumberFormat="1" applyFont="1" applyAlignment="1">
      <alignment vertical="top" wrapText="1" shrinkToFit="1"/>
      <protection/>
    </xf>
    <xf numFmtId="0" fontId="62" fillId="0" borderId="0" xfId="22" applyFont="1" applyAlignment="1">
      <alignment wrapText="1"/>
      <protection/>
    </xf>
    <xf numFmtId="0" fontId="23" fillId="0" borderId="54" xfId="22" applyFont="1" applyBorder="1" applyAlignment="1">
      <alignment vertical="top"/>
      <protection/>
    </xf>
    <xf numFmtId="49" fontId="23" fillId="0" borderId="55" xfId="22" applyNumberFormat="1" applyFont="1" applyBorder="1" applyAlignment="1">
      <alignment vertical="top"/>
      <protection/>
    </xf>
    <xf numFmtId="49" fontId="23" fillId="0" borderId="55" xfId="22" applyNumberFormat="1" applyFont="1" applyBorder="1" applyAlignment="1">
      <alignment horizontal="left" vertical="top" wrapText="1"/>
      <protection/>
    </xf>
    <xf numFmtId="0" fontId="23" fillId="0" borderId="55" xfId="22" applyFont="1" applyBorder="1" applyAlignment="1">
      <alignment horizontal="center" vertical="top" shrinkToFit="1"/>
      <protection/>
    </xf>
    <xf numFmtId="165" fontId="23" fillId="0" borderId="55" xfId="22" applyNumberFormat="1" applyFont="1" applyBorder="1" applyAlignment="1">
      <alignment vertical="top" shrinkToFit="1"/>
      <protection/>
    </xf>
    <xf numFmtId="4" fontId="23" fillId="8" borderId="55" xfId="22" applyNumberFormat="1" applyFont="1" applyFill="1" applyBorder="1" applyAlignment="1" applyProtection="1">
      <alignment vertical="top" shrinkToFit="1"/>
      <protection locked="0"/>
    </xf>
    <xf numFmtId="4" fontId="23" fillId="0" borderId="55" xfId="22" applyNumberFormat="1" applyFont="1" applyBorder="1" applyAlignment="1">
      <alignment vertical="top" shrinkToFit="1"/>
      <protection/>
    </xf>
    <xf numFmtId="49" fontId="9" fillId="0" borderId="0" xfId="22" applyNumberFormat="1" applyAlignment="1">
      <alignment horizontal="left" vertical="top" wrapText="1"/>
      <protection/>
    </xf>
    <xf numFmtId="0" fontId="22" fillId="6" borderId="50" xfId="22" applyFont="1" applyFill="1" applyBorder="1" applyAlignment="1">
      <alignment vertical="top"/>
      <protection/>
    </xf>
    <xf numFmtId="49" fontId="22" fillId="6" borderId="49" xfId="22" applyNumberFormat="1" applyFont="1" applyFill="1" applyBorder="1" applyAlignment="1">
      <alignment vertical="top"/>
      <protection/>
    </xf>
    <xf numFmtId="49" fontId="22" fillId="6" borderId="49" xfId="22" applyNumberFormat="1" applyFont="1" applyFill="1" applyBorder="1" applyAlignment="1">
      <alignment horizontal="left" vertical="top" wrapText="1"/>
      <protection/>
    </xf>
    <xf numFmtId="0" fontId="22" fillId="6" borderId="49" xfId="22" applyFont="1" applyFill="1" applyBorder="1" applyAlignment="1">
      <alignment horizontal="center" vertical="top"/>
      <protection/>
    </xf>
    <xf numFmtId="0" fontId="22" fillId="6" borderId="49" xfId="22" applyFont="1" applyFill="1" applyBorder="1" applyAlignment="1">
      <alignment vertical="top"/>
      <protection/>
    </xf>
    <xf numFmtId="4" fontId="22" fillId="6" borderId="56" xfId="22" applyNumberFormat="1" applyFont="1" applyFill="1" applyBorder="1" applyAlignment="1">
      <alignment vertical="top" shrinkToFit="1"/>
      <protection/>
    </xf>
    <xf numFmtId="49" fontId="9" fillId="0" borderId="0" xfId="22" applyNumberFormat="1" applyAlignment="1">
      <alignment horizontal="left" wrapText="1"/>
      <protection/>
    </xf>
    <xf numFmtId="0" fontId="9" fillId="0" borderId="57" xfId="22" applyBorder="1">
      <alignment/>
      <protection/>
    </xf>
    <xf numFmtId="0" fontId="9" fillId="0" borderId="6" xfId="22" applyBorder="1">
      <alignment/>
      <protection/>
    </xf>
    <xf numFmtId="0" fontId="65" fillId="6" borderId="6" xfId="22" applyFont="1" applyFill="1" applyBorder="1" applyAlignment="1">
      <alignment horizontal="left" vertical="center" indent="1"/>
      <protection/>
    </xf>
    <xf numFmtId="0" fontId="9" fillId="6" borderId="0" xfId="22" applyFill="1" applyAlignment="1">
      <alignment wrapText="1"/>
      <protection/>
    </xf>
    <xf numFmtId="49" fontId="60" fillId="6" borderId="0" xfId="22" applyNumberFormat="1" applyFont="1" applyFill="1" applyAlignment="1">
      <alignment horizontal="left" vertical="center" wrapText="1"/>
      <protection/>
    </xf>
    <xf numFmtId="14" fontId="11" fillId="0" borderId="0" xfId="22" applyNumberFormat="1" applyFont="1" applyAlignment="1">
      <alignment horizontal="left"/>
      <protection/>
    </xf>
    <xf numFmtId="0" fontId="9" fillId="6" borderId="6" xfId="22" applyFill="1" applyBorder="1" applyAlignment="1">
      <alignment horizontal="left" vertical="center" indent="1"/>
      <protection/>
    </xf>
    <xf numFmtId="0" fontId="22" fillId="6" borderId="0" xfId="22" applyFont="1" applyFill="1" applyAlignment="1">
      <alignment horizontal="left" vertical="center" wrapText="1"/>
      <protection/>
    </xf>
    <xf numFmtId="0" fontId="9" fillId="6" borderId="58" xfId="22" applyFill="1" applyBorder="1" applyAlignment="1">
      <alignment horizontal="left" vertical="center" indent="1"/>
      <protection/>
    </xf>
    <xf numFmtId="0" fontId="9" fillId="6" borderId="16" xfId="22" applyFill="1" applyBorder="1" applyAlignment="1">
      <alignment wrapText="1"/>
      <protection/>
    </xf>
    <xf numFmtId="0" fontId="22" fillId="6" borderId="16" xfId="22" applyFont="1" applyFill="1" applyBorder="1" applyAlignment="1">
      <alignment horizontal="left" vertical="center" wrapText="1"/>
      <protection/>
    </xf>
    <xf numFmtId="0" fontId="9" fillId="0" borderId="6" xfId="22" applyBorder="1" applyAlignment="1">
      <alignment horizontal="left" vertical="center" indent="1"/>
      <protection/>
    </xf>
    <xf numFmtId="0" fontId="9" fillId="0" borderId="0" xfId="22" applyAlignment="1">
      <alignment wrapText="1"/>
      <protection/>
    </xf>
    <xf numFmtId="0" fontId="9" fillId="0" borderId="0" xfId="22" applyAlignment="1">
      <alignment horizontal="right" vertical="center"/>
      <protection/>
    </xf>
    <xf numFmtId="49" fontId="22" fillId="0" borderId="0" xfId="22" applyNumberFormat="1" applyFont="1" applyAlignment="1">
      <alignment horizontal="left" vertical="center"/>
      <protection/>
    </xf>
    <xf numFmtId="0" fontId="9" fillId="0" borderId="59" xfId="22" applyBorder="1">
      <alignment/>
      <protection/>
    </xf>
    <xf numFmtId="0" fontId="22" fillId="0" borderId="6" xfId="22" applyFont="1" applyBorder="1" applyAlignment="1">
      <alignment horizontal="left" vertical="center" indent="1"/>
      <protection/>
    </xf>
    <xf numFmtId="0" fontId="22" fillId="0" borderId="0" xfId="22" applyFont="1" applyAlignment="1">
      <alignment vertical="center" wrapText="1"/>
      <protection/>
    </xf>
    <xf numFmtId="49" fontId="22" fillId="0" borderId="0" xfId="22" applyNumberFormat="1" applyFont="1" applyAlignment="1">
      <alignment horizontal="left" vertical="center" wrapText="1"/>
      <protection/>
    </xf>
    <xf numFmtId="0" fontId="22" fillId="0" borderId="58" xfId="22" applyFont="1" applyBorder="1" applyAlignment="1">
      <alignment horizontal="left" vertical="center" indent="1"/>
      <protection/>
    </xf>
    <xf numFmtId="0" fontId="22" fillId="0" borderId="16" xfId="22" applyFont="1" applyBorder="1" applyAlignment="1">
      <alignment horizontal="right" vertical="center" wrapText="1"/>
      <protection/>
    </xf>
    <xf numFmtId="49" fontId="22" fillId="0" borderId="16" xfId="22" applyNumberFormat="1" applyFont="1" applyBorder="1" applyAlignment="1">
      <alignment horizontal="left" vertical="center" wrapText="1"/>
      <protection/>
    </xf>
    <xf numFmtId="0" fontId="9" fillId="0" borderId="16" xfId="22" applyBorder="1" applyAlignment="1">
      <alignment vertical="center"/>
      <protection/>
    </xf>
    <xf numFmtId="0" fontId="22" fillId="0" borderId="16" xfId="22" applyFont="1" applyBorder="1" applyAlignment="1">
      <alignment vertical="center"/>
      <protection/>
    </xf>
    <xf numFmtId="0" fontId="9" fillId="0" borderId="60" xfId="22" applyBorder="1">
      <alignment/>
      <protection/>
    </xf>
    <xf numFmtId="0" fontId="9" fillId="0" borderId="58" xfId="22" applyBorder="1" applyAlignment="1">
      <alignment horizontal="left" indent="1"/>
      <protection/>
    </xf>
    <xf numFmtId="49" fontId="9" fillId="0" borderId="16" xfId="22" applyNumberFormat="1" applyBorder="1" applyAlignment="1">
      <alignment vertical="center" wrapText="1"/>
      <protection/>
    </xf>
    <xf numFmtId="0" fontId="9" fillId="0" borderId="16" xfId="22" applyBorder="1">
      <alignment/>
      <protection/>
    </xf>
    <xf numFmtId="0" fontId="9" fillId="0" borderId="16" xfId="22" applyBorder="1" applyAlignment="1">
      <alignment horizontal="right"/>
      <protection/>
    </xf>
    <xf numFmtId="0" fontId="22" fillId="8" borderId="0" xfId="22" applyFont="1" applyFill="1" applyAlignment="1" applyProtection="1">
      <alignment horizontal="left" vertical="center"/>
      <protection locked="0"/>
    </xf>
    <xf numFmtId="0" fontId="22" fillId="8" borderId="16" xfId="22" applyFont="1" applyFill="1" applyBorder="1" applyAlignment="1" applyProtection="1">
      <alignment horizontal="left" vertical="center" wrapText="1"/>
      <protection locked="0"/>
    </xf>
    <xf numFmtId="0" fontId="9" fillId="0" borderId="16" xfId="22" applyBorder="1" applyAlignment="1">
      <alignment horizontal="right" vertical="center"/>
      <protection/>
    </xf>
    <xf numFmtId="0" fontId="9" fillId="0" borderId="61" xfId="22" applyBorder="1" applyAlignment="1">
      <alignment horizontal="left" vertical="top" indent="1"/>
      <protection/>
    </xf>
    <xf numFmtId="0" fontId="9" fillId="0" borderId="18" xfId="22" applyBorder="1" applyAlignment="1">
      <alignment vertical="top" wrapText="1"/>
      <protection/>
    </xf>
    <xf numFmtId="0" fontId="22" fillId="0" borderId="18" xfId="22" applyFont="1" applyBorder="1" applyAlignment="1">
      <alignment horizontal="left" vertical="top" wrapText="1"/>
      <protection/>
    </xf>
    <xf numFmtId="0" fontId="22" fillId="0" borderId="18" xfId="22" applyFont="1" applyBorder="1" applyAlignment="1">
      <alignment vertical="center" wrapText="1"/>
      <protection/>
    </xf>
    <xf numFmtId="0" fontId="22" fillId="0" borderId="18" xfId="22" applyFont="1" applyBorder="1" applyAlignment="1">
      <alignment vertical="center"/>
      <protection/>
    </xf>
    <xf numFmtId="0" fontId="9" fillId="0" borderId="18" xfId="22" applyBorder="1" applyAlignment="1">
      <alignment horizontal="right" vertical="center"/>
      <protection/>
    </xf>
    <xf numFmtId="0" fontId="9" fillId="0" borderId="62" xfId="22" applyBorder="1">
      <alignment/>
      <protection/>
    </xf>
    <xf numFmtId="0" fontId="9" fillId="0" borderId="16" xfId="22" applyBorder="1" applyAlignment="1">
      <alignment horizontal="left" wrapText="1"/>
      <protection/>
    </xf>
    <xf numFmtId="0" fontId="9" fillId="0" borderId="16" xfId="22" applyBorder="1" applyAlignment="1">
      <alignment wrapText="1"/>
      <protection/>
    </xf>
    <xf numFmtId="49" fontId="9" fillId="0" borderId="6" xfId="22" applyNumberFormat="1" applyBorder="1">
      <alignment/>
      <protection/>
    </xf>
    <xf numFmtId="0" fontId="9" fillId="0" borderId="63" xfId="22" applyBorder="1" applyAlignment="1">
      <alignment horizontal="left" vertical="center" indent="1"/>
      <protection/>
    </xf>
    <xf numFmtId="0" fontId="9" fillId="0" borderId="49" xfId="22" applyBorder="1" applyAlignment="1">
      <alignment horizontal="left" vertical="center" wrapText="1"/>
      <protection/>
    </xf>
    <xf numFmtId="0" fontId="9" fillId="0" borderId="49" xfId="22" applyBorder="1" applyAlignment="1">
      <alignment wrapText="1"/>
      <protection/>
    </xf>
    <xf numFmtId="0" fontId="22" fillId="0" borderId="63" xfId="22" applyFont="1" applyBorder="1" applyAlignment="1">
      <alignment horizontal="left" vertical="center" indent="1"/>
      <protection/>
    </xf>
    <xf numFmtId="0" fontId="22" fillId="0" borderId="49" xfId="22" applyFont="1" applyBorder="1" applyAlignment="1">
      <alignment horizontal="left" vertical="center" wrapText="1"/>
      <protection/>
    </xf>
    <xf numFmtId="0" fontId="22" fillId="0" borderId="49" xfId="22" applyFont="1" applyBorder="1" applyAlignment="1">
      <alignment wrapText="1"/>
      <protection/>
    </xf>
    <xf numFmtId="0" fontId="9" fillId="0" borderId="63" xfId="22" applyBorder="1" applyAlignment="1">
      <alignment horizontal="left" indent="1"/>
      <protection/>
    </xf>
    <xf numFmtId="1" fontId="22" fillId="0" borderId="49" xfId="22" applyNumberFormat="1" applyFont="1" applyBorder="1" applyAlignment="1">
      <alignment horizontal="right" vertical="center" wrapText="1"/>
      <protection/>
    </xf>
    <xf numFmtId="0" fontId="9" fillId="0" borderId="49" xfId="22" applyBorder="1" applyAlignment="1">
      <alignment horizontal="left" vertical="center" indent="1"/>
      <protection/>
    </xf>
    <xf numFmtId="0" fontId="22" fillId="0" borderId="49" xfId="22" applyFont="1" applyBorder="1" applyAlignment="1">
      <alignment vertical="center"/>
      <protection/>
    </xf>
    <xf numFmtId="49" fontId="9" fillId="0" borderId="64" xfId="22" applyNumberFormat="1" applyBorder="1" applyAlignment="1">
      <alignment horizontal="left" vertical="center"/>
      <protection/>
    </xf>
    <xf numFmtId="1" fontId="22" fillId="0" borderId="50" xfId="22" applyNumberFormat="1" applyFont="1" applyBorder="1" applyAlignment="1">
      <alignment horizontal="right" vertical="center" wrapText="1"/>
      <protection/>
    </xf>
    <xf numFmtId="0" fontId="9" fillId="0" borderId="58" xfId="22" applyBorder="1" applyAlignment="1">
      <alignment horizontal="left" vertical="center" indent="1"/>
      <protection/>
    </xf>
    <xf numFmtId="0" fontId="9" fillId="0" borderId="16" xfId="22" applyBorder="1" applyAlignment="1">
      <alignment horizontal="left" vertical="center" wrapText="1"/>
      <protection/>
    </xf>
    <xf numFmtId="1" fontId="22" fillId="0" borderId="15" xfId="22" applyNumberFormat="1" applyFont="1" applyBorder="1" applyAlignment="1">
      <alignment horizontal="right" vertical="center" wrapText="1"/>
      <protection/>
    </xf>
    <xf numFmtId="0" fontId="9" fillId="0" borderId="16" xfId="22" applyBorder="1" applyAlignment="1">
      <alignment horizontal="left" vertical="center" indent="1"/>
      <protection/>
    </xf>
    <xf numFmtId="49" fontId="9" fillId="0" borderId="60" xfId="22" applyNumberFormat="1" applyBorder="1" applyAlignment="1">
      <alignment horizontal="left" vertical="center"/>
      <protection/>
    </xf>
    <xf numFmtId="0" fontId="9" fillId="0" borderId="0" xfId="22" applyAlignment="1">
      <alignment horizontal="left" vertical="center" wrapText="1"/>
      <protection/>
    </xf>
    <xf numFmtId="1" fontId="9" fillId="0" borderId="0" xfId="22" applyNumberFormat="1" applyAlignment="1">
      <alignment horizontal="left" vertical="center" wrapText="1"/>
      <protection/>
    </xf>
    <xf numFmtId="4" fontId="9" fillId="0" borderId="0" xfId="22" applyNumberFormat="1" applyAlignment="1">
      <alignment horizontal="left" vertical="center"/>
      <protection/>
    </xf>
    <xf numFmtId="49" fontId="9" fillId="0" borderId="59" xfId="22" applyNumberFormat="1" applyBorder="1" applyAlignment="1">
      <alignment horizontal="left" vertical="center"/>
      <protection/>
    </xf>
    <xf numFmtId="0" fontId="60" fillId="6" borderId="65" xfId="22" applyFont="1" applyFill="1" applyBorder="1" applyAlignment="1">
      <alignment horizontal="left" vertical="center" indent="1"/>
      <protection/>
    </xf>
    <xf numFmtId="0" fontId="22" fillId="6" borderId="66" xfId="22" applyFont="1" applyFill="1" applyBorder="1" applyAlignment="1">
      <alignment horizontal="left" vertical="center" wrapText="1"/>
      <protection/>
    </xf>
    <xf numFmtId="0" fontId="9" fillId="6" borderId="66" xfId="22" applyFill="1" applyBorder="1" applyAlignment="1">
      <alignment horizontal="left" vertical="center" wrapText="1"/>
      <protection/>
    </xf>
    <xf numFmtId="4" fontId="60" fillId="6" borderId="66" xfId="22" applyNumberFormat="1" applyFont="1" applyFill="1" applyBorder="1" applyAlignment="1">
      <alignment horizontal="left" vertical="center"/>
      <protection/>
    </xf>
    <xf numFmtId="49" fontId="9" fillId="6" borderId="67" xfId="22" applyNumberFormat="1" applyFill="1" applyBorder="1" applyAlignment="1">
      <alignment horizontal="left" vertical="center"/>
      <protection/>
    </xf>
    <xf numFmtId="0" fontId="9" fillId="6" borderId="66" xfId="22" applyFill="1" applyBorder="1" applyAlignment="1">
      <alignment wrapText="1"/>
      <protection/>
    </xf>
    <xf numFmtId="0" fontId="9" fillId="6" borderId="66" xfId="22" applyFill="1" applyBorder="1">
      <alignment/>
      <protection/>
    </xf>
    <xf numFmtId="49" fontId="22" fillId="6" borderId="67" xfId="22" applyNumberFormat="1" applyFont="1" applyFill="1" applyBorder="1" applyAlignment="1">
      <alignment horizontal="left" vertical="center"/>
      <protection/>
    </xf>
    <xf numFmtId="0" fontId="9" fillId="0" borderId="59" xfId="22" applyBorder="1" applyAlignment="1">
      <alignment horizontal="right"/>
      <protection/>
    </xf>
    <xf numFmtId="0" fontId="9" fillId="0" borderId="6" xfId="22" applyBorder="1" applyAlignment="1">
      <alignment horizontal="right"/>
      <protection/>
    </xf>
    <xf numFmtId="0" fontId="9" fillId="0" borderId="0" xfId="22" applyAlignment="1">
      <alignment horizontal="center" vertical="center" wrapText="1"/>
      <protection/>
    </xf>
    <xf numFmtId="0" fontId="22" fillId="0" borderId="16" xfId="22" applyFont="1" applyBorder="1" applyAlignment="1">
      <alignment vertical="top" wrapText="1"/>
      <protection/>
    </xf>
    <xf numFmtId="0" fontId="9" fillId="0" borderId="0" xfId="22" applyAlignment="1">
      <alignment horizontal="center" vertical="center"/>
      <protection/>
    </xf>
    <xf numFmtId="0" fontId="22" fillId="0" borderId="16" xfId="22" applyFont="1" applyBorder="1" applyAlignment="1">
      <alignment vertical="top"/>
      <protection/>
    </xf>
    <xf numFmtId="14" fontId="22" fillId="0" borderId="16" xfId="22" applyNumberFormat="1" applyFont="1" applyBorder="1" applyAlignment="1">
      <alignment horizontal="center" vertical="top"/>
      <protection/>
    </xf>
    <xf numFmtId="0" fontId="22" fillId="0" borderId="6" xfId="22" applyFont="1" applyBorder="1">
      <alignment/>
      <protection/>
    </xf>
    <xf numFmtId="0" fontId="22" fillId="0" borderId="0" xfId="22" applyFont="1" applyAlignment="1">
      <alignment wrapText="1"/>
      <protection/>
    </xf>
    <xf numFmtId="0" fontId="22" fillId="0" borderId="0" xfId="22" applyFont="1">
      <alignment/>
      <protection/>
    </xf>
    <xf numFmtId="0" fontId="22" fillId="0" borderId="59" xfId="22" applyFont="1" applyBorder="1" applyAlignment="1">
      <alignment horizontal="right"/>
      <protection/>
    </xf>
    <xf numFmtId="0" fontId="9" fillId="0" borderId="68" xfId="22" applyBorder="1">
      <alignment/>
      <protection/>
    </xf>
    <xf numFmtId="0" fontId="9" fillId="0" borderId="69" xfId="22" applyBorder="1" applyAlignment="1">
      <alignment wrapText="1"/>
      <protection/>
    </xf>
    <xf numFmtId="0" fontId="9" fillId="0" borderId="69" xfId="22" applyBorder="1">
      <alignment/>
      <protection/>
    </xf>
    <xf numFmtId="0" fontId="9" fillId="0" borderId="70" xfId="22" applyBorder="1" applyAlignment="1">
      <alignment horizontal="right"/>
      <protection/>
    </xf>
    <xf numFmtId="0" fontId="60" fillId="0" borderId="0" xfId="22" applyFont="1" applyAlignment="1">
      <alignment horizontal="left" vertical="center"/>
      <protection/>
    </xf>
    <xf numFmtId="0" fontId="6" fillId="0" borderId="0" xfId="22" applyFont="1" applyAlignment="1">
      <alignment horizontal="center" vertical="center" wrapText="1"/>
      <protection/>
    </xf>
    <xf numFmtId="0" fontId="6" fillId="0" borderId="0" xfId="22" applyFont="1" applyAlignment="1">
      <alignment horizontal="center" vertical="center" shrinkToFit="1"/>
      <protection/>
    </xf>
    <xf numFmtId="0" fontId="6" fillId="0" borderId="0" xfId="22" applyFont="1" applyAlignment="1">
      <alignment horizontal="center" vertical="center"/>
      <protection/>
    </xf>
    <xf numFmtId="4" fontId="9" fillId="0" borderId="1" xfId="22" applyNumberFormat="1" applyBorder="1">
      <alignment/>
      <protection/>
    </xf>
    <xf numFmtId="4" fontId="11" fillId="7" borderId="50" xfId="22" applyNumberFormat="1" applyFont="1" applyFill="1" applyBorder="1" applyAlignment="1">
      <alignment vertical="center"/>
      <protection/>
    </xf>
    <xf numFmtId="4" fontId="11" fillId="7" borderId="49" xfId="22" applyNumberFormat="1" applyFont="1" applyFill="1" applyBorder="1" applyAlignment="1">
      <alignment vertical="center" wrapText="1"/>
      <protection/>
    </xf>
    <xf numFmtId="4" fontId="68" fillId="7" borderId="48" xfId="22" applyNumberFormat="1" applyFont="1" applyFill="1" applyBorder="1" applyAlignment="1">
      <alignment horizontal="center" vertical="center" wrapText="1" shrinkToFit="1"/>
      <protection/>
    </xf>
    <xf numFmtId="4" fontId="11" fillId="7" borderId="50" xfId="22" applyNumberFormat="1" applyFont="1" applyFill="1" applyBorder="1" applyAlignment="1">
      <alignment horizontal="center" vertical="center" wrapText="1" shrinkToFit="1"/>
      <protection/>
    </xf>
    <xf numFmtId="4" fontId="11" fillId="7" borderId="48" xfId="22" applyNumberFormat="1" applyFont="1" applyFill="1" applyBorder="1" applyAlignment="1">
      <alignment horizontal="center" vertical="center" wrapText="1" shrinkToFit="1"/>
      <protection/>
    </xf>
    <xf numFmtId="3" fontId="11" fillId="7" borderId="48" xfId="22" applyNumberFormat="1" applyFont="1" applyFill="1" applyBorder="1" applyAlignment="1">
      <alignment horizontal="center" vertical="center" wrapText="1"/>
      <protection/>
    </xf>
    <xf numFmtId="4" fontId="9" fillId="0" borderId="50" xfId="22" applyNumberFormat="1" applyBorder="1" applyAlignment="1">
      <alignment vertical="center"/>
      <protection/>
    </xf>
    <xf numFmtId="4" fontId="11" fillId="0" borderId="49" xfId="22" applyNumberFormat="1" applyFont="1" applyBorder="1" applyAlignment="1">
      <alignment horizontal="right" vertical="center" wrapText="1" shrinkToFit="1"/>
      <protection/>
    </xf>
    <xf numFmtId="4" fontId="11" fillId="0" borderId="49" xfId="22" applyNumberFormat="1" applyFont="1" applyBorder="1" applyAlignment="1">
      <alignment horizontal="right" vertical="center" shrinkToFit="1"/>
      <protection/>
    </xf>
    <xf numFmtId="4" fontId="9" fillId="0" borderId="49" xfId="22" applyNumberFormat="1" applyBorder="1" applyAlignment="1">
      <alignment vertical="center" shrinkToFit="1"/>
      <protection/>
    </xf>
    <xf numFmtId="4" fontId="9" fillId="0" borderId="48" xfId="22" applyNumberFormat="1" applyBorder="1" applyAlignment="1">
      <alignment vertical="center" shrinkToFit="1"/>
      <protection/>
    </xf>
    <xf numFmtId="3" fontId="9" fillId="0" borderId="48" xfId="22" applyNumberFormat="1" applyBorder="1" applyAlignment="1">
      <alignment vertical="center"/>
      <protection/>
    </xf>
    <xf numFmtId="4" fontId="22" fillId="0" borderId="50" xfId="22" applyNumberFormat="1" applyFont="1" applyBorder="1" applyAlignment="1">
      <alignment vertical="center"/>
      <protection/>
    </xf>
    <xf numFmtId="4" fontId="22" fillId="0" borderId="49" xfId="22" applyNumberFormat="1" applyFont="1" applyBorder="1" applyAlignment="1">
      <alignment vertical="center" wrapText="1" shrinkToFit="1"/>
      <protection/>
    </xf>
    <xf numFmtId="4" fontId="22" fillId="0" borderId="49" xfId="22" applyNumberFormat="1" applyFont="1" applyBorder="1" applyAlignment="1">
      <alignment vertical="center" shrinkToFit="1"/>
      <protection/>
    </xf>
    <xf numFmtId="4" fontId="22" fillId="0" borderId="48" xfId="22" applyNumberFormat="1" applyFont="1" applyBorder="1" applyAlignment="1">
      <alignment vertical="center" shrinkToFit="1"/>
      <protection/>
    </xf>
    <xf numFmtId="4" fontId="69" fillId="6" borderId="49" xfId="22" applyNumberFormat="1" applyFont="1" applyFill="1" applyBorder="1" applyAlignment="1">
      <alignment vertical="center" wrapText="1" shrinkToFit="1"/>
      <protection/>
    </xf>
    <xf numFmtId="4" fontId="69" fillId="6" borderId="49" xfId="22" applyNumberFormat="1" applyFont="1" applyFill="1" applyBorder="1" applyAlignment="1">
      <alignment vertical="center" shrinkToFit="1"/>
      <protection/>
    </xf>
    <xf numFmtId="4" fontId="9" fillId="6" borderId="48" xfId="22" applyNumberFormat="1" applyFill="1" applyBorder="1" applyAlignment="1">
      <alignment vertical="center" shrinkToFit="1"/>
      <protection/>
    </xf>
    <xf numFmtId="4" fontId="22" fillId="0" borderId="50" xfId="22" applyNumberFormat="1" applyFont="1" applyBorder="1" applyAlignment="1">
      <alignment vertical="center" wrapText="1"/>
      <protection/>
    </xf>
    <xf numFmtId="170" fontId="22" fillId="0" borderId="48" xfId="22" applyNumberFormat="1" applyFont="1" applyBorder="1" applyAlignment="1">
      <alignment vertical="center"/>
      <protection/>
    </xf>
    <xf numFmtId="0" fontId="23" fillId="0" borderId="49" xfId="22" applyFont="1" applyBorder="1" applyAlignment="1">
      <alignment vertical="top"/>
      <protection/>
    </xf>
    <xf numFmtId="49" fontId="23" fillId="0" borderId="49" xfId="22" applyNumberFormat="1" applyFont="1" applyBorder="1" applyAlignment="1">
      <alignment vertical="top"/>
      <protection/>
    </xf>
    <xf numFmtId="49" fontId="23" fillId="0" borderId="71" xfId="22" applyNumberFormat="1" applyFont="1" applyBorder="1" applyAlignment="1">
      <alignment horizontal="left" vertical="top" wrapText="1"/>
      <protection/>
    </xf>
    <xf numFmtId="0" fontId="23" fillId="0" borderId="72" xfId="0" applyFont="1" applyBorder="1" applyAlignment="1">
      <alignment horizontal="center" vertical="center"/>
    </xf>
    <xf numFmtId="165" fontId="23" fillId="0" borderId="39" xfId="0" applyNumberFormat="1" applyFont="1" applyBorder="1" applyAlignment="1">
      <alignment horizontal="right" vertical="center"/>
    </xf>
    <xf numFmtId="165" fontId="23" fillId="0" borderId="41" xfId="0" applyNumberFormat="1" applyFont="1" applyBorder="1" applyAlignment="1">
      <alignment horizontal="right" vertical="center"/>
    </xf>
    <xf numFmtId="165" fontId="0" fillId="0" borderId="41" xfId="0" applyNumberFormat="1" applyBorder="1" applyAlignment="1">
      <alignment horizontal="right" vertical="center"/>
    </xf>
    <xf numFmtId="165" fontId="24" fillId="0" borderId="41" xfId="0" applyNumberFormat="1" applyFont="1" applyBorder="1" applyAlignment="1">
      <alignment horizontal="right" vertical="center"/>
    </xf>
    <xf numFmtId="172" fontId="0" fillId="0" borderId="73" xfId="0" applyNumberFormat="1" applyBorder="1" applyAlignment="1">
      <alignment horizontal="right" vertical="center"/>
    </xf>
    <xf numFmtId="171" fontId="0" fillId="0" borderId="73" xfId="0" applyNumberFormat="1" applyBorder="1" applyAlignment="1">
      <alignment horizontal="right" vertical="center"/>
    </xf>
    <xf numFmtId="0" fontId="0" fillId="0" borderId="74" xfId="0" applyBorder="1" applyAlignment="1">
      <alignment horizontal="right" vertical="center"/>
    </xf>
    <xf numFmtId="171" fontId="0" fillId="0" borderId="75" xfId="0" applyNumberFormat="1" applyBorder="1" applyAlignment="1">
      <alignment horizontal="right" vertical="center"/>
    </xf>
    <xf numFmtId="171" fontId="0" fillId="0" borderId="74" xfId="0" applyNumberFormat="1" applyBorder="1" applyAlignment="1">
      <alignment horizontal="right" vertical="center"/>
    </xf>
    <xf numFmtId="1" fontId="0" fillId="0" borderId="76" xfId="0" applyNumberFormat="1" applyBorder="1" applyAlignment="1">
      <alignment horizontal="center" vertical="center"/>
    </xf>
    <xf numFmtId="165" fontId="0" fillId="0" borderId="73" xfId="0" applyNumberFormat="1" applyBorder="1" applyAlignment="1">
      <alignment horizontal="right" vertical="center"/>
    </xf>
    <xf numFmtId="4" fontId="0" fillId="0" borderId="73" xfId="0" applyNumberFormat="1" applyBorder="1" applyAlignment="1">
      <alignment horizontal="right" vertical="center"/>
    </xf>
    <xf numFmtId="0" fontId="0" fillId="0" borderId="73" xfId="0" applyBorder="1" applyAlignment="1">
      <alignment horizontal="right"/>
    </xf>
    <xf numFmtId="4" fontId="54" fillId="0" borderId="73" xfId="0" applyNumberFormat="1" applyFont="1" applyBorder="1" applyAlignment="1">
      <alignment horizontal="right" vertical="center"/>
    </xf>
    <xf numFmtId="4" fontId="57" fillId="0" borderId="73" xfId="0" applyNumberFormat="1" applyFont="1" applyBorder="1" applyAlignment="1">
      <alignment horizontal="right" vertical="center"/>
    </xf>
    <xf numFmtId="165" fontId="58" fillId="0" borderId="73" xfId="0" applyNumberFormat="1" applyFont="1" applyBorder="1" applyAlignment="1">
      <alignment horizontal="right" vertical="center"/>
    </xf>
    <xf numFmtId="0" fontId="37" fillId="0" borderId="77" xfId="21" applyFont="1" applyBorder="1" applyAlignment="1">
      <alignment horizontal="right" vertical="top" wrapText="1"/>
      <protection/>
    </xf>
    <xf numFmtId="0" fontId="42" fillId="0" borderId="77" xfId="21" applyFont="1" applyBorder="1" applyAlignment="1">
      <alignment horizontal="center" vertical="top" wrapText="1"/>
      <protection/>
    </xf>
    <xf numFmtId="0" fontId="28" fillId="9" borderId="77" xfId="21" applyFont="1" applyFill="1" applyBorder="1" applyAlignment="1">
      <alignment vertical="center"/>
      <protection/>
    </xf>
    <xf numFmtId="0" fontId="0" fillId="0" borderId="77" xfId="0" applyBorder="1"/>
    <xf numFmtId="0" fontId="23" fillId="0" borderId="77" xfId="0" applyFont="1" applyBorder="1"/>
    <xf numFmtId="0" fontId="45" fillId="0" borderId="77" xfId="0" applyFont="1" applyBorder="1"/>
    <xf numFmtId="49" fontId="46" fillId="0" borderId="77" xfId="0" applyNumberFormat="1" applyFont="1" applyBorder="1" applyAlignment="1">
      <alignment horizontal="left" vertical="center"/>
    </xf>
    <xf numFmtId="49" fontId="48" fillId="0" borderId="77" xfId="0" applyNumberFormat="1" applyFont="1" applyBorder="1" applyAlignment="1">
      <alignment horizontal="left" vertical="center"/>
    </xf>
    <xf numFmtId="0" fontId="46" fillId="0" borderId="77" xfId="0" applyFont="1" applyBorder="1"/>
    <xf numFmtId="0" fontId="23" fillId="0" borderId="78" xfId="0" applyFont="1" applyBorder="1" applyAlignment="1">
      <alignment horizontal="center" vertical="top" wrapText="1"/>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1" fillId="0" borderId="81" xfId="0" applyFont="1" applyBorder="1" applyAlignment="1">
      <alignment horizontal="center"/>
    </xf>
    <xf numFmtId="0" fontId="41" fillId="0" borderId="81" xfId="0" applyFont="1" applyBorder="1" applyAlignment="1">
      <alignment horizontal="left" vertical="center"/>
    </xf>
    <xf numFmtId="49" fontId="0" fillId="0" borderId="78" xfId="0" applyNumberFormat="1" applyBorder="1" applyAlignment="1">
      <alignment horizontal="center" vertical="center"/>
    </xf>
    <xf numFmtId="4" fontId="0" fillId="0" borderId="78" xfId="0" applyNumberFormat="1" applyBorder="1" applyAlignment="1">
      <alignment horizontal="right" vertical="center"/>
    </xf>
    <xf numFmtId="171" fontId="0" fillId="0" borderId="78" xfId="0" applyNumberFormat="1" applyBorder="1" applyAlignment="1">
      <alignment horizontal="center" vertical="center"/>
    </xf>
    <xf numFmtId="49" fontId="0" fillId="0" borderId="78" xfId="0" applyNumberFormat="1" applyBorder="1" applyAlignment="1">
      <alignment horizontal="left" vertical="center"/>
    </xf>
    <xf numFmtId="4" fontId="23" fillId="0" borderId="78" xfId="0" applyNumberFormat="1" applyFont="1" applyBorder="1" applyAlignment="1">
      <alignment horizontal="right" vertical="center"/>
    </xf>
    <xf numFmtId="165" fontId="0" fillId="0" borderId="78" xfId="0" applyNumberFormat="1" applyBorder="1" applyAlignment="1">
      <alignment horizontal="right" vertical="center"/>
    </xf>
    <xf numFmtId="1" fontId="0" fillId="0" borderId="82" xfId="0" applyNumberFormat="1" applyBorder="1" applyAlignment="1">
      <alignment horizontal="center" vertical="center"/>
    </xf>
    <xf numFmtId="0" fontId="0" fillId="0" borderId="78" xfId="0" applyBorder="1" applyAlignment="1">
      <alignment horizontal="left" vertical="center"/>
    </xf>
    <xf numFmtId="1" fontId="0" fillId="0" borderId="78" xfId="0" applyNumberFormat="1" applyBorder="1" applyAlignment="1">
      <alignment horizontal="center" vertical="center"/>
    </xf>
    <xf numFmtId="4" fontId="0" fillId="0" borderId="78" xfId="0" applyNumberFormat="1" applyBorder="1" applyAlignment="1">
      <alignment horizontal="center" vertical="center"/>
    </xf>
    <xf numFmtId="4" fontId="44" fillId="0" borderId="78" xfId="0" applyNumberFormat="1" applyFont="1" applyBorder="1" applyAlignment="1">
      <alignment horizontal="right" vertical="center"/>
    </xf>
    <xf numFmtId="0" fontId="0" fillId="0" borderId="0" xfId="0" applyAlignment="1">
      <alignment horizontal="center" wrapText="1"/>
    </xf>
    <xf numFmtId="49" fontId="26" fillId="0" borderId="78" xfId="0" applyNumberFormat="1" applyFont="1" applyBorder="1" applyAlignment="1">
      <alignment horizontal="left" vertical="center"/>
    </xf>
    <xf numFmtId="3" fontId="0" fillId="0" borderId="78" xfId="0" applyNumberFormat="1" applyBorder="1" applyAlignment="1">
      <alignment horizontal="center" vertical="center"/>
    </xf>
    <xf numFmtId="49" fontId="44" fillId="0" borderId="78" xfId="0" applyNumberFormat="1" applyFont="1" applyBorder="1" applyAlignment="1">
      <alignment horizontal="left" vertical="center"/>
    </xf>
    <xf numFmtId="170" fontId="0" fillId="0" borderId="78" xfId="0" applyNumberFormat="1" applyBorder="1" applyAlignment="1">
      <alignment horizontal="center" vertical="center"/>
    </xf>
    <xf numFmtId="49" fontId="47" fillId="0" borderId="78" xfId="0" applyNumberFormat="1" applyFont="1" applyBorder="1" applyAlignment="1">
      <alignment horizontal="left" vertical="center"/>
    </xf>
    <xf numFmtId="172" fontId="0" fillId="0" borderId="78" xfId="0" applyNumberFormat="1" applyBorder="1" applyAlignment="1">
      <alignment horizontal="center" vertical="center"/>
    </xf>
    <xf numFmtId="4" fontId="0" fillId="0" borderId="78" xfId="0" applyNumberFormat="1" applyBorder="1" applyAlignment="1">
      <alignment vertical="center"/>
    </xf>
    <xf numFmtId="0" fontId="0" fillId="0" borderId="78" xfId="0" applyBorder="1" applyAlignment="1">
      <alignment vertical="center"/>
    </xf>
    <xf numFmtId="0" fontId="0" fillId="0" borderId="78" xfId="0" applyBorder="1" applyAlignment="1">
      <alignment horizontal="center" vertical="center"/>
    </xf>
    <xf numFmtId="0" fontId="0" fillId="0" borderId="78" xfId="0" applyBorder="1" applyAlignment="1">
      <alignment horizontal="right" vertical="center"/>
    </xf>
    <xf numFmtId="0" fontId="26" fillId="0" borderId="82" xfId="0" applyFont="1" applyBorder="1" applyAlignment="1">
      <alignment horizontal="center" vertical="center"/>
    </xf>
    <xf numFmtId="171" fontId="0" fillId="0" borderId="78" xfId="0" applyNumberFormat="1" applyBorder="1" applyAlignment="1">
      <alignment horizontal="right" vertical="center"/>
    </xf>
    <xf numFmtId="173" fontId="0" fillId="0" borderId="78" xfId="0" applyNumberFormat="1" applyBorder="1" applyAlignment="1">
      <alignment horizontal="center" vertical="center"/>
    </xf>
    <xf numFmtId="0" fontId="0" fillId="0" borderId="78" xfId="0" applyBorder="1"/>
    <xf numFmtId="0" fontId="0" fillId="0" borderId="78" xfId="0" applyBorder="1" applyAlignment="1">
      <alignment horizontal="center"/>
    </xf>
    <xf numFmtId="3" fontId="0" fillId="0" borderId="78" xfId="0" applyNumberFormat="1" applyBorder="1" applyAlignment="1">
      <alignment horizontal="center"/>
    </xf>
    <xf numFmtId="3" fontId="0" fillId="0" borderId="78" xfId="0" applyNumberFormat="1" applyBorder="1" applyAlignment="1">
      <alignment horizontal="right" vertical="center"/>
    </xf>
    <xf numFmtId="170" fontId="0" fillId="0" borderId="78" xfId="0" applyNumberFormat="1" applyBorder="1" applyAlignment="1">
      <alignment horizontal="right" vertical="center"/>
    </xf>
    <xf numFmtId="165" fontId="0" fillId="0" borderId="78" xfId="0" applyNumberFormat="1" applyBorder="1" applyAlignment="1">
      <alignment horizontal="center" vertical="center"/>
    </xf>
    <xf numFmtId="0" fontId="0" fillId="0" borderId="81" xfId="0" applyBorder="1" applyAlignment="1">
      <alignment horizontal="center" wrapText="1"/>
    </xf>
    <xf numFmtId="0" fontId="0" fillId="0" borderId="82" xfId="0" applyBorder="1" applyAlignment="1">
      <alignment horizontal="center" vertical="center"/>
    </xf>
    <xf numFmtId="174" fontId="0" fillId="0" borderId="78" xfId="20" applyNumberFormat="1" applyFont="1" applyFill="1" applyBorder="1" applyAlignment="1" applyProtection="1">
      <alignment horizontal="center" vertical="center"/>
      <protection/>
    </xf>
    <xf numFmtId="49" fontId="44" fillId="0" borderId="78" xfId="0" applyNumberFormat="1" applyFont="1" applyBorder="1" applyAlignment="1">
      <alignment horizontal="left" vertical="center" wrapText="1"/>
    </xf>
    <xf numFmtId="49" fontId="9" fillId="0" borderId="78" xfId="0" applyNumberFormat="1" applyFont="1" applyBorder="1" applyAlignment="1">
      <alignment horizontal="left" vertical="center"/>
    </xf>
    <xf numFmtId="49" fontId="9" fillId="0" borderId="78" xfId="0" applyNumberFormat="1" applyFont="1" applyBorder="1" applyAlignment="1">
      <alignment horizontal="left" vertical="center"/>
    </xf>
    <xf numFmtId="49" fontId="59" fillId="0" borderId="78" xfId="0" applyNumberFormat="1" applyFont="1" applyBorder="1" applyAlignment="1">
      <alignment horizontal="left" vertical="center" wrapText="1"/>
    </xf>
    <xf numFmtId="49" fontId="11" fillId="0" borderId="78" xfId="0" applyNumberFormat="1" applyFont="1" applyBorder="1" applyAlignment="1">
      <alignment horizontal="left" vertical="center"/>
    </xf>
    <xf numFmtId="49" fontId="0" fillId="0" borderId="78" xfId="0" applyNumberFormat="1" applyBorder="1" applyAlignment="1">
      <alignment horizontal="left" vertical="center" wrapText="1"/>
    </xf>
    <xf numFmtId="49" fontId="29" fillId="0" borderId="78" xfId="0" applyNumberFormat="1" applyFont="1" applyBorder="1" applyAlignment="1">
      <alignment horizontal="left" vertical="center"/>
    </xf>
    <xf numFmtId="1" fontId="26" fillId="0" borderId="82" xfId="0" applyNumberFormat="1" applyFont="1" applyBorder="1" applyAlignment="1">
      <alignment horizontal="center" vertical="center"/>
    </xf>
    <xf numFmtId="4" fontId="23" fillId="0" borderId="78" xfId="0" applyNumberFormat="1" applyFont="1" applyBorder="1" applyAlignment="1">
      <alignment horizontal="center" vertical="center"/>
    </xf>
    <xf numFmtId="166" fontId="0" fillId="0" borderId="78" xfId="0" applyNumberFormat="1" applyBorder="1" applyAlignment="1">
      <alignment horizontal="center" vertical="center"/>
    </xf>
    <xf numFmtId="0" fontId="0" fillId="0" borderId="78" xfId="0" applyBorder="1" applyAlignment="1">
      <alignment horizontal="right"/>
    </xf>
    <xf numFmtId="49" fontId="22" fillId="0" borderId="78" xfId="0" applyNumberFormat="1" applyFont="1" applyBorder="1" applyAlignment="1">
      <alignment horizontal="left" vertical="center"/>
    </xf>
    <xf numFmtId="0" fontId="0" fillId="0" borderId="0" xfId="0" applyAlignment="1">
      <alignment wrapText="1"/>
    </xf>
    <xf numFmtId="49" fontId="54" fillId="0" borderId="78" xfId="0" applyNumberFormat="1" applyFont="1" applyBorder="1" applyAlignment="1">
      <alignment horizontal="right" vertical="center"/>
    </xf>
    <xf numFmtId="49" fontId="11" fillId="0" borderId="78" xfId="0" applyNumberFormat="1" applyFont="1" applyBorder="1" applyAlignment="1">
      <alignment horizontal="center" vertical="center"/>
    </xf>
    <xf numFmtId="3" fontId="11" fillId="0" borderId="78" xfId="0" applyNumberFormat="1" applyFont="1" applyBorder="1" applyAlignment="1">
      <alignment horizontal="center" vertical="center"/>
    </xf>
    <xf numFmtId="4" fontId="11" fillId="0" borderId="78" xfId="0" applyNumberFormat="1" applyFont="1" applyBorder="1" applyAlignment="1">
      <alignment horizontal="right" vertical="center"/>
    </xf>
    <xf numFmtId="4" fontId="55" fillId="0" borderId="78" xfId="0" applyNumberFormat="1" applyFont="1" applyBorder="1" applyAlignment="1">
      <alignment horizontal="right" vertical="center"/>
    </xf>
    <xf numFmtId="171" fontId="47" fillId="0" borderId="78" xfId="0" applyNumberFormat="1" applyFont="1" applyBorder="1" applyAlignment="1">
      <alignment horizontal="center" vertical="center"/>
    </xf>
    <xf numFmtId="49" fontId="56" fillId="0" borderId="78" xfId="0" applyNumberFormat="1" applyFont="1" applyBorder="1" applyAlignment="1">
      <alignment horizontal="right" vertical="center"/>
    </xf>
    <xf numFmtId="49" fontId="56" fillId="0" borderId="78" xfId="0" applyNumberFormat="1" applyFont="1" applyBorder="1" applyAlignment="1">
      <alignment horizontal="center" vertical="center"/>
    </xf>
    <xf numFmtId="3" fontId="56" fillId="0" borderId="78" xfId="0" applyNumberFormat="1" applyFont="1" applyBorder="1" applyAlignment="1">
      <alignment horizontal="center" vertical="center"/>
    </xf>
    <xf numFmtId="4" fontId="56" fillId="0" borderId="78" xfId="0" applyNumberFormat="1" applyFont="1" applyBorder="1" applyAlignment="1">
      <alignment horizontal="right" vertical="center"/>
    </xf>
    <xf numFmtId="4" fontId="16" fillId="0" borderId="78" xfId="0" applyNumberFormat="1" applyFont="1" applyBorder="1" applyAlignment="1">
      <alignment horizontal="right" vertical="center"/>
    </xf>
    <xf numFmtId="4" fontId="16" fillId="0" borderId="0" xfId="0" applyNumberFormat="1" applyFont="1"/>
    <xf numFmtId="4" fontId="56" fillId="0" borderId="78" xfId="0" applyNumberFormat="1" applyFont="1" applyBorder="1" applyAlignment="1">
      <alignment horizontal="center" vertical="center"/>
    </xf>
    <xf numFmtId="0" fontId="25" fillId="0" borderId="78" xfId="0" applyFont="1" applyBorder="1" applyAlignment="1">
      <alignment horizontal="right" vertical="center"/>
    </xf>
    <xf numFmtId="49" fontId="24" fillId="0" borderId="78" xfId="0" applyNumberFormat="1" applyFont="1" applyBorder="1" applyAlignment="1">
      <alignment horizontal="center" vertical="center"/>
    </xf>
    <xf numFmtId="3" fontId="24" fillId="0" borderId="78" xfId="0" applyNumberFormat="1" applyFont="1" applyBorder="1" applyAlignment="1">
      <alignment horizontal="center" vertical="center"/>
    </xf>
    <xf numFmtId="4" fontId="24" fillId="0" borderId="78" xfId="0" applyNumberFormat="1" applyFont="1" applyBorder="1" applyAlignment="1">
      <alignment horizontal="right" vertical="center"/>
    </xf>
    <xf numFmtId="4" fontId="58" fillId="0" borderId="78" xfId="0" applyNumberFormat="1" applyFont="1" applyBorder="1" applyAlignment="1">
      <alignment horizontal="right" vertical="center"/>
    </xf>
    <xf numFmtId="3" fontId="24" fillId="0" borderId="78" xfId="0" applyNumberFormat="1" applyFont="1" applyBorder="1" applyAlignment="1">
      <alignment horizontal="right" vertical="center"/>
    </xf>
    <xf numFmtId="4" fontId="24" fillId="0" borderId="78" xfId="0" applyNumberFormat="1" applyFont="1" applyBorder="1" applyAlignment="1">
      <alignment horizontal="center" vertical="center"/>
    </xf>
    <xf numFmtId="3" fontId="56" fillId="0" borderId="78" xfId="0" applyNumberFormat="1" applyFont="1" applyBorder="1" applyAlignment="1">
      <alignment horizontal="right" vertical="center"/>
    </xf>
    <xf numFmtId="0" fontId="0" fillId="0" borderId="83" xfId="0" applyBorder="1" applyAlignment="1">
      <alignment horizontal="center" vertical="center"/>
    </xf>
    <xf numFmtId="49" fontId="0" fillId="0" borderId="84" xfId="0" applyNumberFormat="1" applyBorder="1" applyAlignment="1">
      <alignment horizontal="center" vertical="center"/>
    </xf>
    <xf numFmtId="49" fontId="0" fillId="0" borderId="84" xfId="0" applyNumberFormat="1" applyBorder="1" applyAlignment="1">
      <alignment horizontal="left" vertical="center"/>
    </xf>
    <xf numFmtId="172" fontId="23" fillId="0" borderId="84" xfId="0" applyNumberFormat="1" applyFont="1" applyBorder="1" applyAlignment="1">
      <alignment horizontal="center" vertical="center"/>
    </xf>
    <xf numFmtId="4" fontId="0" fillId="0" borderId="84" xfId="0" applyNumberFormat="1" applyBorder="1" applyAlignment="1">
      <alignment horizontal="right" vertical="center"/>
    </xf>
    <xf numFmtId="3" fontId="24" fillId="0" borderId="84" xfId="0" applyNumberFormat="1" applyFont="1" applyBorder="1" applyAlignment="1">
      <alignment horizontal="right" vertical="center"/>
    </xf>
    <xf numFmtId="165" fontId="0" fillId="0" borderId="84" xfId="0" applyNumberFormat="1" applyBorder="1" applyAlignment="1">
      <alignment horizontal="center" vertical="center"/>
    </xf>
    <xf numFmtId="165" fontId="24" fillId="0" borderId="85" xfId="0" applyNumberFormat="1" applyFont="1" applyBorder="1" applyAlignment="1">
      <alignment horizontal="right" vertical="center"/>
    </xf>
    <xf numFmtId="0" fontId="0" fillId="0" borderId="86" xfId="0" applyBorder="1"/>
    <xf numFmtId="0" fontId="23" fillId="9" borderId="36" xfId="0" applyFont="1" applyFill="1" applyBorder="1" applyAlignment="1">
      <alignment horizontal="center" vertical="center"/>
    </xf>
    <xf numFmtId="0" fontId="24" fillId="9" borderId="37" xfId="0" applyFont="1" applyFill="1" applyBorder="1" applyAlignment="1">
      <alignment horizontal="center" vertical="center"/>
    </xf>
    <xf numFmtId="0" fontId="25" fillId="9" borderId="37" xfId="0" applyFont="1" applyFill="1" applyBorder="1" applyAlignment="1">
      <alignment horizontal="left" vertical="center"/>
    </xf>
    <xf numFmtId="0" fontId="23" fillId="9" borderId="38" xfId="0" applyFont="1" applyFill="1" applyBorder="1" applyAlignment="1">
      <alignment horizontal="center" vertical="center"/>
    </xf>
    <xf numFmtId="0" fontId="23" fillId="9" borderId="39" xfId="0" applyFont="1" applyFill="1" applyBorder="1" applyAlignment="1">
      <alignment horizontal="center" vertical="center"/>
    </xf>
    <xf numFmtId="4" fontId="23" fillId="9" borderId="38" xfId="0" applyNumberFormat="1" applyFont="1" applyFill="1" applyBorder="1" applyAlignment="1">
      <alignment horizontal="center" vertical="center"/>
    </xf>
    <xf numFmtId="165" fontId="23" fillId="9" borderId="38" xfId="0" applyNumberFormat="1" applyFont="1" applyFill="1" applyBorder="1" applyAlignment="1">
      <alignment horizontal="center" vertical="center"/>
    </xf>
    <xf numFmtId="165" fontId="23" fillId="9" borderId="39" xfId="0" applyNumberFormat="1" applyFont="1" applyFill="1" applyBorder="1" applyAlignment="1">
      <alignment horizontal="right" vertical="center"/>
    </xf>
    <xf numFmtId="1" fontId="0" fillId="9" borderId="42" xfId="0" applyNumberFormat="1" applyFill="1" applyBorder="1" applyAlignment="1">
      <alignment horizontal="center" vertical="center"/>
    </xf>
    <xf numFmtId="49" fontId="0" fillId="9" borderId="78" xfId="0" applyNumberFormat="1" applyFill="1" applyBorder="1" applyAlignment="1">
      <alignment horizontal="center" vertical="center"/>
    </xf>
    <xf numFmtId="3" fontId="0" fillId="9" borderId="37" xfId="0" applyNumberFormat="1" applyFill="1" applyBorder="1" applyAlignment="1">
      <alignment horizontal="center" vertical="center"/>
    </xf>
    <xf numFmtId="2" fontId="0" fillId="9" borderId="78" xfId="0" applyNumberFormat="1" applyFill="1" applyBorder="1" applyAlignment="1">
      <alignment horizontal="right" vertical="center"/>
    </xf>
    <xf numFmtId="4" fontId="0" fillId="9" borderId="78" xfId="0" applyNumberFormat="1" applyFill="1" applyBorder="1" applyAlignment="1">
      <alignment horizontal="right" vertical="center"/>
    </xf>
    <xf numFmtId="171" fontId="0" fillId="9" borderId="78" xfId="0" applyNumberFormat="1" applyFill="1" applyBorder="1" applyAlignment="1">
      <alignment horizontal="center" vertical="center"/>
    </xf>
    <xf numFmtId="172" fontId="0" fillId="9" borderId="73" xfId="0" applyNumberFormat="1" applyFill="1" applyBorder="1" applyAlignment="1">
      <alignment horizontal="right" vertical="center"/>
    </xf>
    <xf numFmtId="0" fontId="23" fillId="9" borderId="77" xfId="0" applyFont="1" applyFill="1" applyBorder="1"/>
    <xf numFmtId="1" fontId="0" fillId="9" borderId="82" xfId="0" applyNumberFormat="1" applyFill="1" applyBorder="1" applyAlignment="1">
      <alignment horizontal="center" vertical="center"/>
    </xf>
    <xf numFmtId="0" fontId="24" fillId="9" borderId="78" xfId="0" applyFont="1" applyFill="1" applyBorder="1" applyAlignment="1">
      <alignment horizontal="center" vertical="center"/>
    </xf>
    <xf numFmtId="0" fontId="25" fillId="9" borderId="78" xfId="0" applyFont="1" applyFill="1" applyBorder="1" applyAlignment="1">
      <alignment horizontal="left" vertical="center"/>
    </xf>
    <xf numFmtId="4" fontId="0" fillId="9" borderId="78" xfId="0" applyNumberFormat="1" applyFill="1" applyBorder="1" applyAlignment="1">
      <alignment horizontal="center" vertical="center"/>
    </xf>
    <xf numFmtId="171" fontId="0" fillId="9" borderId="73" xfId="0" applyNumberFormat="1" applyFill="1" applyBorder="1" applyAlignment="1">
      <alignment horizontal="center" vertical="center"/>
    </xf>
    <xf numFmtId="0" fontId="0" fillId="9" borderId="77" xfId="0" applyFill="1" applyBorder="1"/>
    <xf numFmtId="0" fontId="1" fillId="0" borderId="87" xfId="21" applyFont="1" applyBorder="1" applyAlignment="1">
      <alignment horizontal="right" vertical="top" wrapText="1"/>
      <protection/>
    </xf>
    <xf numFmtId="0" fontId="23" fillId="0" borderId="88" xfId="21" applyFont="1" applyBorder="1" applyAlignment="1">
      <alignment horizontal="center" vertical="center"/>
      <protection/>
    </xf>
    <xf numFmtId="49" fontId="59" fillId="0" borderId="77" xfId="21" applyNumberFormat="1" applyFont="1" applyBorder="1" applyAlignment="1">
      <alignment horizontal="center" vertical="center" wrapText="1"/>
      <protection/>
    </xf>
    <xf numFmtId="4" fontId="0" fillId="10" borderId="37" xfId="0" applyNumberFormat="1" applyFill="1" applyBorder="1" applyAlignment="1" applyProtection="1">
      <alignment horizontal="center" vertical="center"/>
      <protection locked="0"/>
    </xf>
    <xf numFmtId="4" fontId="0" fillId="10" borderId="43" xfId="0" applyNumberFormat="1" applyFill="1" applyBorder="1" applyAlignment="1" applyProtection="1">
      <alignment horizontal="right" vertical="center"/>
      <protection locked="0"/>
    </xf>
    <xf numFmtId="2" fontId="0" fillId="10" borderId="78" xfId="0" applyNumberFormat="1" applyFill="1" applyBorder="1" applyAlignment="1" applyProtection="1">
      <alignment horizontal="right" vertical="center"/>
      <protection locked="0"/>
    </xf>
    <xf numFmtId="4" fontId="0" fillId="10" borderId="78" xfId="0" applyNumberFormat="1" applyFill="1" applyBorder="1" applyAlignment="1" applyProtection="1">
      <alignment horizontal="right" vertical="center"/>
      <protection locked="0"/>
    </xf>
    <xf numFmtId="4" fontId="0" fillId="10" borderId="78" xfId="0" applyNumberFormat="1" applyFill="1" applyBorder="1" applyAlignment="1" applyProtection="1">
      <alignment vertical="center"/>
      <protection locked="0"/>
    </xf>
    <xf numFmtId="4" fontId="23" fillId="10" borderId="78" xfId="0" applyNumberFormat="1" applyFont="1" applyFill="1" applyBorder="1" applyAlignment="1" applyProtection="1">
      <alignment horizontal="center" vertical="center"/>
      <protection locked="0"/>
    </xf>
    <xf numFmtId="4" fontId="0" fillId="10" borderId="37" xfId="0" applyNumberFormat="1" applyFill="1" applyBorder="1" applyAlignment="1" applyProtection="1">
      <alignment horizontal="right" vertical="center"/>
      <protection locked="0"/>
    </xf>
    <xf numFmtId="4" fontId="0" fillId="10" borderId="84" xfId="0" applyNumberFormat="1" applyFill="1" applyBorder="1" applyAlignment="1" applyProtection="1">
      <alignment horizontal="right" vertical="center"/>
      <protection locked="0"/>
    </xf>
    <xf numFmtId="0" fontId="0" fillId="0" borderId="25" xfId="0" applyBorder="1" applyAlignment="1">
      <alignment vertical="center"/>
    </xf>
    <xf numFmtId="0" fontId="19" fillId="0" borderId="25" xfId="0" applyFont="1" applyBorder="1" applyAlignment="1">
      <alignment vertical="center"/>
    </xf>
    <xf numFmtId="0" fontId="23" fillId="11" borderId="0" xfId="23" applyFill="1" applyAlignment="1">
      <alignment horizontal="center" vertical="center" wrapText="1"/>
      <protection/>
    </xf>
    <xf numFmtId="0" fontId="0" fillId="0" borderId="0" xfId="0" applyAlignment="1">
      <alignment horizontal="center" vertical="center"/>
    </xf>
    <xf numFmtId="0" fontId="23" fillId="0" borderId="32" xfId="23" applyBorder="1" applyAlignment="1">
      <alignment horizontal="center" vertical="center"/>
      <protection/>
    </xf>
    <xf numFmtId="0" fontId="0" fillId="0" borderId="0" xfId="0" applyAlignment="1">
      <alignment horizontal="center"/>
    </xf>
    <xf numFmtId="4" fontId="11" fillId="10" borderId="32" xfId="0" applyNumberFormat="1" applyFont="1" applyFill="1" applyBorder="1" applyAlignment="1" applyProtection="1">
      <alignment vertical="center"/>
      <protection locked="0"/>
    </xf>
    <xf numFmtId="4" fontId="18" fillId="10" borderId="32" xfId="0" applyNumberFormat="1" applyFont="1" applyFill="1" applyBorder="1" applyAlignment="1" applyProtection="1">
      <alignment vertical="center"/>
      <protection locked="0"/>
    </xf>
    <xf numFmtId="0" fontId="17" fillId="10" borderId="0" xfId="0" applyFont="1" applyFill="1" applyProtection="1">
      <protection locked="0"/>
    </xf>
    <xf numFmtId="0" fontId="14" fillId="0" borderId="0" xfId="0" applyFont="1" applyAlignment="1">
      <alignment horizontal="left" vertical="center"/>
    </xf>
    <xf numFmtId="0" fontId="18" fillId="0" borderId="0" xfId="0" applyFont="1" applyAlignment="1">
      <alignment horizontal="left" vertical="center"/>
    </xf>
    <xf numFmtId="0" fontId="14" fillId="0" borderId="34" xfId="0" applyFont="1" applyBorder="1" applyAlignment="1">
      <alignment horizontal="left" vertical="center"/>
    </xf>
    <xf numFmtId="0" fontId="11" fillId="0" borderId="32" xfId="23" applyFont="1" applyBorder="1" applyAlignment="1">
      <alignment horizontal="center" vertical="center"/>
      <protection/>
    </xf>
    <xf numFmtId="0" fontId="9" fillId="10" borderId="0" xfId="0" applyFont="1" applyFill="1" applyAlignment="1" applyProtection="1">
      <alignment horizontal="left" vertical="center"/>
      <protection locked="0"/>
    </xf>
    <xf numFmtId="0" fontId="11" fillId="11" borderId="0" xfId="23" applyFont="1" applyFill="1" applyAlignment="1">
      <alignment horizontal="center" vertical="center" wrapText="1"/>
      <protection/>
    </xf>
    <xf numFmtId="0" fontId="20" fillId="10" borderId="0" xfId="0" applyFont="1" applyFill="1" applyAlignment="1" applyProtection="1">
      <alignment vertical="center"/>
      <protection locked="0"/>
    </xf>
    <xf numFmtId="4" fontId="1" fillId="10" borderId="0" xfId="0" applyNumberFormat="1" applyFont="1" applyFill="1" applyAlignment="1" applyProtection="1">
      <alignment horizontal="right" vertical="center"/>
      <protection locked="0"/>
    </xf>
    <xf numFmtId="4" fontId="1" fillId="10" borderId="16" xfId="0" applyNumberFormat="1" applyFont="1" applyFill="1" applyBorder="1" applyAlignment="1" applyProtection="1">
      <alignment horizontal="right" vertical="center"/>
      <protection locked="0"/>
    </xf>
    <xf numFmtId="49" fontId="1" fillId="0" borderId="14" xfId="0" applyNumberFormat="1" applyFont="1" applyBorder="1" applyAlignment="1">
      <alignment horizontal="center" vertical="center"/>
    </xf>
    <xf numFmtId="0" fontId="18" fillId="0" borderId="32" xfId="23" applyFont="1" applyBorder="1" applyAlignment="1">
      <alignment horizontal="left" vertical="center" wrapText="1"/>
      <protection/>
    </xf>
    <xf numFmtId="0" fontId="11" fillId="12" borderId="0" xfId="22" applyFont="1" applyFill="1" applyAlignment="1">
      <alignment horizontal="left" wrapText="1"/>
      <protection/>
    </xf>
    <xf numFmtId="4" fontId="22" fillId="0" borderId="49" xfId="22" applyNumberFormat="1" applyFont="1" applyBorder="1" applyAlignment="1">
      <alignment vertical="center" wrapText="1"/>
      <protection/>
    </xf>
    <xf numFmtId="4" fontId="9" fillId="6" borderId="50" xfId="22" applyNumberFormat="1" applyFill="1" applyBorder="1" applyAlignment="1">
      <alignment vertical="center"/>
      <protection/>
    </xf>
    <xf numFmtId="4" fontId="9" fillId="6" borderId="49" xfId="22" applyNumberFormat="1" applyFill="1" applyBorder="1" applyAlignment="1">
      <alignment vertical="center"/>
      <protection/>
    </xf>
    <xf numFmtId="4" fontId="8" fillId="0" borderId="50" xfId="22" applyNumberFormat="1" applyFont="1" applyBorder="1" applyAlignment="1">
      <alignment vertical="center"/>
      <protection/>
    </xf>
    <xf numFmtId="4" fontId="8" fillId="0" borderId="49" xfId="22" applyNumberFormat="1" applyFont="1" applyBorder="1" applyAlignment="1">
      <alignment vertical="center"/>
      <protection/>
    </xf>
    <xf numFmtId="4" fontId="8" fillId="0" borderId="50" xfId="22" applyNumberFormat="1" applyFont="1" applyBorder="1" applyAlignment="1">
      <alignment horizontal="right" vertical="center"/>
      <protection/>
    </xf>
    <xf numFmtId="4" fontId="8" fillId="0" borderId="49" xfId="22" applyNumberFormat="1" applyFont="1" applyBorder="1" applyAlignment="1">
      <alignment horizontal="right" vertical="center"/>
      <protection/>
    </xf>
    <xf numFmtId="4" fontId="8" fillId="0" borderId="15" xfId="22" applyNumberFormat="1" applyFont="1" applyBorder="1" applyAlignment="1">
      <alignment horizontal="right" vertical="center"/>
      <protection/>
    </xf>
    <xf numFmtId="4" fontId="8" fillId="0" borderId="16" xfId="22" applyNumberFormat="1" applyFont="1" applyBorder="1" applyAlignment="1">
      <alignment horizontal="right" vertical="center"/>
      <protection/>
    </xf>
    <xf numFmtId="4" fontId="8" fillId="0" borderId="18" xfId="22" applyNumberFormat="1" applyFont="1" applyBorder="1" applyAlignment="1">
      <alignment horizontal="right" vertical="center"/>
      <protection/>
    </xf>
    <xf numFmtId="4" fontId="67" fillId="6" borderId="66" xfId="22" applyNumberFormat="1" applyFont="1" applyFill="1" applyBorder="1" applyAlignment="1">
      <alignment horizontal="right" vertical="center"/>
      <protection/>
    </xf>
    <xf numFmtId="2" fontId="67" fillId="6" borderId="66" xfId="22" applyNumberFormat="1" applyFont="1" applyFill="1" applyBorder="1" applyAlignment="1">
      <alignment horizontal="right" vertical="center"/>
      <protection/>
    </xf>
    <xf numFmtId="0" fontId="22" fillId="0" borderId="16" xfId="22" applyFont="1" applyBorder="1" applyAlignment="1">
      <alignment horizontal="center" vertical="center" wrapText="1"/>
      <protection/>
    </xf>
    <xf numFmtId="0" fontId="9" fillId="0" borderId="16" xfId="22" applyBorder="1" applyAlignment="1">
      <alignment horizontal="center" vertical="center" wrapText="1"/>
      <protection/>
    </xf>
    <xf numFmtId="0" fontId="22" fillId="0" borderId="16" xfId="22" applyFont="1" applyBorder="1" applyAlignment="1">
      <alignment horizontal="center" vertical="center"/>
      <protection/>
    </xf>
    <xf numFmtId="0" fontId="9" fillId="0" borderId="16" xfId="22" applyBorder="1" applyAlignment="1">
      <alignment horizontal="center" vertical="center"/>
      <protection/>
    </xf>
    <xf numFmtId="0" fontId="9" fillId="0" borderId="18" xfId="22" applyBorder="1" applyAlignment="1">
      <alignment horizontal="center" wrapText="1"/>
      <protection/>
    </xf>
    <xf numFmtId="4" fontId="9" fillId="0" borderId="49" xfId="22" applyNumberFormat="1" applyBorder="1" applyAlignment="1">
      <alignment vertical="center" wrapText="1"/>
      <protection/>
    </xf>
    <xf numFmtId="4" fontId="66" fillId="0" borderId="50" xfId="22" applyNumberFormat="1" applyFont="1" applyBorder="1" applyAlignment="1">
      <alignment horizontal="right" vertical="center" indent="1"/>
      <protection/>
    </xf>
    <xf numFmtId="4" fontId="66" fillId="0" borderId="56" xfId="22" applyNumberFormat="1" applyFont="1" applyBorder="1" applyAlignment="1">
      <alignment horizontal="right" vertical="center" indent="1"/>
      <protection/>
    </xf>
    <xf numFmtId="4" fontId="66" fillId="0" borderId="64" xfId="22" applyNumberFormat="1" applyFont="1" applyBorder="1" applyAlignment="1">
      <alignment horizontal="right" vertical="center" indent="1"/>
      <protection/>
    </xf>
    <xf numFmtId="4" fontId="8" fillId="0" borderId="50" xfId="22" applyNumberFormat="1" applyFont="1" applyBorder="1" applyAlignment="1">
      <alignment horizontal="right" vertical="center" indent="1"/>
      <protection/>
    </xf>
    <xf numFmtId="4" fontId="8" fillId="0" borderId="56" xfId="22" applyNumberFormat="1" applyFont="1" applyBorder="1" applyAlignment="1">
      <alignment horizontal="right" vertical="center" indent="1"/>
      <protection/>
    </xf>
    <xf numFmtId="4" fontId="8" fillId="0" borderId="64" xfId="22" applyNumberFormat="1" applyFont="1" applyBorder="1" applyAlignment="1">
      <alignment horizontal="right" vertical="center" indent="1"/>
      <protection/>
    </xf>
    <xf numFmtId="0" fontId="9" fillId="0" borderId="16" xfId="22" applyBorder="1" applyAlignment="1">
      <alignment horizontal="right" indent="1"/>
      <protection/>
    </xf>
    <xf numFmtId="0" fontId="9" fillId="0" borderId="60" xfId="22" applyBorder="1" applyAlignment="1">
      <alignment horizontal="right" indent="1"/>
      <protection/>
    </xf>
    <xf numFmtId="49" fontId="22" fillId="0" borderId="16" xfId="22" applyNumberFormat="1" applyFont="1" applyBorder="1" applyAlignment="1">
      <alignment vertical="center" wrapText="1"/>
      <protection/>
    </xf>
    <xf numFmtId="0" fontId="9" fillId="0" borderId="16" xfId="22" applyBorder="1" applyAlignment="1">
      <alignment vertical="center" wrapText="1"/>
      <protection/>
    </xf>
    <xf numFmtId="0" fontId="22" fillId="8" borderId="18" xfId="22" applyFont="1" applyFill="1" applyBorder="1" applyAlignment="1" applyProtection="1">
      <alignment horizontal="left" vertical="center"/>
      <protection locked="0"/>
    </xf>
    <xf numFmtId="0" fontId="22" fillId="8" borderId="0" xfId="22" applyFont="1" applyFill="1" applyAlignment="1" applyProtection="1">
      <alignment horizontal="left" vertical="center"/>
      <protection locked="0"/>
    </xf>
    <xf numFmtId="0" fontId="22" fillId="8" borderId="16" xfId="22" applyFont="1" applyFill="1" applyBorder="1" applyAlignment="1" applyProtection="1">
      <alignment horizontal="left" vertical="center"/>
      <protection locked="0"/>
    </xf>
    <xf numFmtId="0" fontId="9" fillId="8" borderId="16" xfId="22" applyFill="1" applyBorder="1" applyAlignment="1" applyProtection="1">
      <alignment horizontal="left" vertical="center"/>
      <protection locked="0"/>
    </xf>
    <xf numFmtId="1" fontId="9" fillId="0" borderId="16" xfId="22" applyNumberFormat="1" applyBorder="1" applyAlignment="1">
      <alignment horizontal="right" indent="1"/>
      <protection/>
    </xf>
    <xf numFmtId="49" fontId="22" fillId="0" borderId="0" xfId="22" applyNumberFormat="1" applyFont="1" applyAlignment="1">
      <alignment horizontal="left" vertical="center" wrapText="1"/>
      <protection/>
    </xf>
    <xf numFmtId="0" fontId="9" fillId="0" borderId="0" xfId="22" applyAlignment="1">
      <alignment vertical="center" wrapText="1"/>
      <protection/>
    </xf>
    <xf numFmtId="0" fontId="6" fillId="0" borderId="89" xfId="22" applyFont="1" applyBorder="1" applyAlignment="1">
      <alignment horizontal="center" vertical="center"/>
      <protection/>
    </xf>
    <xf numFmtId="0" fontId="6" fillId="0" borderId="90" xfId="22" applyFont="1" applyBorder="1" applyAlignment="1">
      <alignment horizontal="center" vertical="center"/>
      <protection/>
    </xf>
    <xf numFmtId="0" fontId="6" fillId="0" borderId="91" xfId="22" applyFont="1" applyBorder="1" applyAlignment="1">
      <alignment horizontal="center" vertical="center"/>
      <protection/>
    </xf>
    <xf numFmtId="49" fontId="60" fillId="6" borderId="18" xfId="22" applyNumberFormat="1" applyFont="1" applyFill="1" applyBorder="1" applyAlignment="1">
      <alignment horizontal="left" vertical="center" wrapText="1"/>
      <protection/>
    </xf>
    <xf numFmtId="0" fontId="9" fillId="6" borderId="18" xfId="22" applyFill="1" applyBorder="1" applyAlignment="1">
      <alignment wrapText="1"/>
      <protection/>
    </xf>
    <xf numFmtId="0" fontId="9" fillId="6" borderId="62" xfId="22" applyFill="1" applyBorder="1" applyAlignment="1">
      <alignment wrapText="1"/>
      <protection/>
    </xf>
    <xf numFmtId="0" fontId="22" fillId="6" borderId="0" xfId="22" applyFont="1" applyFill="1" applyAlignment="1">
      <alignment horizontal="left" vertical="center" wrapText="1"/>
      <protection/>
    </xf>
    <xf numFmtId="0" fontId="9" fillId="6" borderId="0" xfId="22" applyFill="1" applyAlignment="1">
      <alignment wrapText="1"/>
      <protection/>
    </xf>
    <xf numFmtId="0" fontId="9" fillId="6" borderId="59" xfId="22" applyFill="1" applyBorder="1" applyAlignment="1">
      <alignment wrapText="1"/>
      <protection/>
    </xf>
    <xf numFmtId="0" fontId="22" fillId="6" borderId="16" xfId="22" applyFont="1" applyFill="1" applyBorder="1" applyAlignment="1">
      <alignment horizontal="left" vertical="center" wrapText="1"/>
      <protection/>
    </xf>
    <xf numFmtId="0" fontId="22" fillId="6" borderId="60" xfId="22" applyFont="1" applyFill="1" applyBorder="1" applyAlignment="1">
      <alignment horizontal="left" vertical="center" wrapText="1"/>
      <protection/>
    </xf>
    <xf numFmtId="49" fontId="22" fillId="0" borderId="18" xfId="22" applyNumberFormat="1" applyFont="1" applyBorder="1" applyAlignment="1">
      <alignment horizontal="left" vertical="center" wrapText="1"/>
      <protection/>
    </xf>
    <xf numFmtId="0" fontId="9" fillId="0" borderId="18" xfId="22" applyBorder="1" applyAlignment="1">
      <alignment vertical="center" wrapText="1"/>
      <protection/>
    </xf>
    <xf numFmtId="0" fontId="63" fillId="0" borderId="18" xfId="22" applyFont="1" applyBorder="1" applyAlignment="1">
      <alignment horizontal="left" vertical="top" wrapText="1"/>
      <protection/>
    </xf>
    <xf numFmtId="0" fontId="63" fillId="0" borderId="18" xfId="22" applyFont="1" applyBorder="1" applyAlignment="1">
      <alignment vertical="top" wrapText="1"/>
      <protection/>
    </xf>
    <xf numFmtId="0" fontId="63" fillId="0" borderId="0" xfId="22" applyFont="1" applyAlignment="1">
      <alignment horizontal="left" vertical="top" wrapText="1"/>
      <protection/>
    </xf>
    <xf numFmtId="0" fontId="63" fillId="0" borderId="0" xfId="22" applyFont="1" applyAlignment="1">
      <alignment vertical="top" wrapText="1"/>
      <protection/>
    </xf>
    <xf numFmtId="0" fontId="60" fillId="0" borderId="0" xfId="22" applyFont="1" applyAlignment="1">
      <alignment horizontal="center"/>
      <protection/>
    </xf>
    <xf numFmtId="49" fontId="9" fillId="0" borderId="50" xfId="22" applyNumberFormat="1" applyBorder="1" applyAlignment="1">
      <alignment horizontal="left" vertical="center"/>
      <protection/>
    </xf>
    <xf numFmtId="49" fontId="9" fillId="0" borderId="49" xfId="22" applyNumberFormat="1" applyBorder="1" applyAlignment="1">
      <alignment horizontal="left" vertical="center"/>
      <protection/>
    </xf>
    <xf numFmtId="49" fontId="9" fillId="0" borderId="56" xfId="22" applyNumberFormat="1" applyBorder="1" applyAlignment="1">
      <alignment horizontal="left" vertical="center"/>
      <protection/>
    </xf>
    <xf numFmtId="49" fontId="9" fillId="6" borderId="50" xfId="22" applyNumberFormat="1" applyFill="1" applyBorder="1" applyAlignment="1">
      <alignment horizontal="left" vertical="center"/>
      <protection/>
    </xf>
    <xf numFmtId="49" fontId="9" fillId="6" borderId="49" xfId="22" applyNumberFormat="1" applyFill="1" applyBorder="1" applyAlignment="1">
      <alignment horizontal="left" vertical="center"/>
      <protection/>
    </xf>
    <xf numFmtId="49" fontId="9" fillId="6" borderId="56" xfId="22" applyNumberFormat="1" applyFill="1" applyBorder="1" applyAlignment="1">
      <alignment horizontal="left" vertical="center"/>
      <protection/>
    </xf>
    <xf numFmtId="0" fontId="23" fillId="0" borderId="18" xfId="22" applyFont="1" applyBorder="1" applyAlignment="1">
      <alignment horizontal="left" vertical="top" wrapText="1"/>
      <protection/>
    </xf>
    <xf numFmtId="0" fontId="23" fillId="0" borderId="18" xfId="22" applyFont="1" applyBorder="1" applyAlignment="1">
      <alignment vertical="top" wrapText="1"/>
      <protection/>
    </xf>
    <xf numFmtId="49" fontId="2" fillId="0" borderId="16" xfId="0" applyNumberFormat="1" applyFont="1" applyBorder="1" applyAlignment="1">
      <alignment horizontal="center"/>
    </xf>
    <xf numFmtId="0" fontId="2" fillId="0" borderId="16" xfId="0" applyFont="1" applyBorder="1" applyAlignment="1">
      <alignment horizontal="center" vertical="center"/>
    </xf>
    <xf numFmtId="0" fontId="1" fillId="0" borderId="51" xfId="0" applyFont="1" applyBorder="1" applyAlignment="1">
      <alignment horizontal="left" vertical="center" wrapText="1"/>
    </xf>
    <xf numFmtId="0" fontId="1" fillId="0" borderId="18"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3" fillId="0" borderId="18" xfId="0" applyFont="1" applyBorder="1" applyAlignment="1">
      <alignment horizontal="left" vertical="center" wrapText="1"/>
    </xf>
    <xf numFmtId="0" fontId="3" fillId="0" borderId="18" xfId="0" applyFont="1" applyBorder="1" applyAlignment="1">
      <alignment horizontal="left" vertical="center"/>
    </xf>
    <xf numFmtId="0" fontId="3" fillId="0" borderId="0" xfId="0" applyFont="1" applyAlignment="1">
      <alignment horizontal="left" vertical="center"/>
    </xf>
    <xf numFmtId="49" fontId="1" fillId="0" borderId="18" xfId="0" applyNumberFormat="1" applyFont="1" applyBorder="1" applyAlignment="1">
      <alignment horizontal="left" vertical="center"/>
    </xf>
    <xf numFmtId="0" fontId="1" fillId="0" borderId="18" xfId="0" applyFont="1" applyBorder="1" applyAlignment="1">
      <alignment horizontal="left" vertical="center" wrapText="1"/>
    </xf>
    <xf numFmtId="0" fontId="1" fillId="0" borderId="92" xfId="0" applyFont="1" applyBorder="1" applyAlignment="1">
      <alignment horizontal="left" vertical="center"/>
    </xf>
    <xf numFmtId="0" fontId="1" fillId="0" borderId="14" xfId="0" applyFont="1" applyBorder="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49" fontId="1" fillId="0" borderId="0" xfId="0" applyNumberFormat="1" applyFont="1" applyAlignment="1">
      <alignment horizontal="left" vertical="center"/>
    </xf>
    <xf numFmtId="49" fontId="1" fillId="10" borderId="0" xfId="0" applyNumberFormat="1" applyFont="1" applyFill="1" applyAlignment="1" applyProtection="1">
      <alignment horizontal="left" vertical="center"/>
      <protection locked="0"/>
    </xf>
    <xf numFmtId="0" fontId="1" fillId="10" borderId="0" xfId="0" applyFont="1" applyFill="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49" fontId="3" fillId="0" borderId="19" xfId="0" applyNumberFormat="1" applyFont="1" applyBorder="1" applyAlignment="1">
      <alignment horizontal="left" vertical="center"/>
    </xf>
    <xf numFmtId="0" fontId="3" fillId="0" borderId="21" xfId="0" applyFont="1" applyBorder="1" applyAlignment="1">
      <alignment horizontal="left" vertical="center"/>
    </xf>
    <xf numFmtId="49" fontId="3" fillId="0" borderId="89" xfId="0" applyNumberFormat="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3" borderId="20" xfId="0" applyNumberFormat="1" applyFont="1" applyFill="1" applyBorder="1" applyAlignment="1">
      <alignment horizontal="left" vertical="center"/>
    </xf>
    <xf numFmtId="0" fontId="3" fillId="3" borderId="20" xfId="0" applyFont="1" applyFill="1" applyBorder="1" applyAlignment="1">
      <alignment horizontal="left" vertical="center"/>
    </xf>
    <xf numFmtId="0" fontId="1" fillId="0" borderId="93" xfId="0" applyFont="1" applyBorder="1" applyAlignment="1">
      <alignment horizontal="left" vertical="center"/>
    </xf>
    <xf numFmtId="0" fontId="1" fillId="0" borderId="69" xfId="0" applyFont="1" applyBorder="1" applyAlignment="1">
      <alignment horizontal="left" vertical="center"/>
    </xf>
    <xf numFmtId="0" fontId="1" fillId="0" borderId="94"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14" xfId="0" applyFont="1" applyBorder="1" applyAlignment="1">
      <alignment horizontal="left" vertical="top"/>
    </xf>
    <xf numFmtId="49" fontId="3" fillId="3" borderId="0" xfId="0" applyNumberFormat="1" applyFont="1" applyFill="1" applyAlignment="1">
      <alignment horizontal="left" vertical="center"/>
    </xf>
    <xf numFmtId="0" fontId="3" fillId="3" borderId="0" xfId="0" applyFont="1" applyFill="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4" xfId="0" applyFont="1" applyBorder="1" applyAlignment="1">
      <alignment horizontal="left" vertical="center"/>
    </xf>
    <xf numFmtId="49" fontId="1" fillId="0" borderId="16" xfId="0" applyNumberFormat="1" applyFont="1" applyBorder="1" applyAlignment="1">
      <alignment horizontal="left" vertical="center"/>
    </xf>
    <xf numFmtId="0" fontId="1" fillId="0" borderId="16" xfId="0" applyFont="1" applyBorder="1" applyAlignment="1">
      <alignment horizontal="left" vertical="center"/>
    </xf>
    <xf numFmtId="49" fontId="3" fillId="0" borderId="18" xfId="0" applyNumberFormat="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left" vertical="center" wrapText="1"/>
    </xf>
    <xf numFmtId="0" fontId="0" fillId="0" borderId="0" xfId="0" applyAlignment="1">
      <alignment vertical="center"/>
    </xf>
    <xf numFmtId="0" fontId="23" fillId="0" borderId="78" xfId="0" applyFont="1" applyBorder="1" applyAlignment="1">
      <alignment horizontal="center" vertical="top" wrapText="1"/>
    </xf>
    <xf numFmtId="0" fontId="23" fillId="0" borderId="73" xfId="0" applyFont="1" applyBorder="1" applyAlignment="1">
      <alignment horizontal="center" vertical="top" wrapText="1"/>
    </xf>
    <xf numFmtId="0" fontId="30" fillId="0" borderId="0" xfId="0" applyFont="1" applyAlignment="1">
      <alignment horizontal="center" vertical="top" wrapText="1"/>
    </xf>
    <xf numFmtId="0" fontId="22" fillId="0" borderId="0" xfId="0" applyFont="1" applyAlignment="1">
      <alignment horizontal="left" wrapText="1"/>
    </xf>
    <xf numFmtId="0" fontId="22" fillId="0" borderId="0" xfId="0" applyFont="1" applyAlignment="1">
      <alignment horizontal="left"/>
    </xf>
    <xf numFmtId="0" fontId="23" fillId="0" borderId="95" xfId="0" applyFont="1" applyBorder="1" applyAlignment="1">
      <alignment horizontal="center" vertical="top" wrapText="1"/>
    </xf>
    <xf numFmtId="0" fontId="23" fillId="0" borderId="96" xfId="0" applyFont="1" applyBorder="1" applyAlignment="1">
      <alignment horizontal="center" vertical="top" wrapText="1"/>
    </xf>
    <xf numFmtId="0" fontId="23" fillId="0" borderId="97" xfId="0" applyFont="1" applyBorder="1" applyAlignment="1">
      <alignment horizontal="center" vertical="top" wrapText="1"/>
    </xf>
    <xf numFmtId="0" fontId="23" fillId="0" borderId="98" xfId="0" applyFont="1" applyBorder="1" applyAlignment="1">
      <alignment horizontal="center" vertical="top" wrapText="1"/>
    </xf>
    <xf numFmtId="0" fontId="23" fillId="0" borderId="99" xfId="21" applyFont="1" applyBorder="1" applyAlignment="1">
      <alignment horizontal="center" vertical="center" wrapText="1"/>
      <protection/>
    </xf>
    <xf numFmtId="0" fontId="23" fillId="0" borderId="77" xfId="21" applyFont="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Čárka" xfId="20"/>
    <cellStyle name="Normální 5" xfId="21"/>
    <cellStyle name="Normální 2" xfId="22"/>
    <cellStyle name="Normální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enka\Desktop\rozpo&#269;ty\Nov&#225;%20slo&#382;ka\V&#221;MLATI&#352;T&#282;\V&#221;MLATI&#352;T&#282;%20A.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lenka\Desktop\rozpo&#269;ty\Nov&#225;%20slo&#382;ka\V&#221;MLATI&#352;T&#282;\V&#221;MLATI&#352;T&#282;%20A.2,B,C,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00 0 Naklady"/>
      <sheetName val="SO 001.A.1 1 Pol"/>
    </sheetNames>
    <sheetDataSet>
      <sheetData sheetId="0"/>
      <sheetData sheetId="1">
        <row r="23">
          <cell r="G23">
            <v>0</v>
          </cell>
        </row>
        <row r="24">
          <cell r="G24">
            <v>0</v>
          </cell>
        </row>
        <row r="25">
          <cell r="G25">
            <v>516330.0799999999</v>
          </cell>
        </row>
        <row r="26">
          <cell r="G26">
            <v>108429</v>
          </cell>
        </row>
        <row r="27">
          <cell r="G27">
            <v>-0.07999999989988282</v>
          </cell>
        </row>
        <row r="28">
          <cell r="G28">
            <v>516330</v>
          </cell>
        </row>
        <row r="29">
          <cell r="J29" t="str">
            <v>CZK</v>
          </cell>
        </row>
      </sheetData>
      <sheetData sheetId="2"/>
      <sheetData sheetId="3">
        <row r="49">
          <cell r="AE49">
            <v>0</v>
          </cell>
        </row>
      </sheetData>
      <sheetData sheetId="4">
        <row r="135">
          <cell r="AE1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00 0 Naklady"/>
      <sheetName val="SO 001.A.2,B,C,D 1 Pol"/>
    </sheetNames>
    <sheetDataSet>
      <sheetData sheetId="0"/>
      <sheetData sheetId="1">
        <row r="23">
          <cell r="G23">
            <v>0</v>
          </cell>
        </row>
        <row r="24">
          <cell r="G24">
            <v>0</v>
          </cell>
        </row>
        <row r="25">
          <cell r="G25">
            <v>1613049.3299999996</v>
          </cell>
        </row>
        <row r="26">
          <cell r="G26">
            <v>338740</v>
          </cell>
        </row>
        <row r="27">
          <cell r="G27">
            <v>-0.3299999996088445</v>
          </cell>
        </row>
        <row r="28">
          <cell r="G28">
            <v>1613049</v>
          </cell>
        </row>
        <row r="29">
          <cell r="J29" t="str">
            <v>CZK</v>
          </cell>
        </row>
      </sheetData>
      <sheetData sheetId="2"/>
      <sheetData sheetId="3">
        <row r="48">
          <cell r="AE48">
            <v>0</v>
          </cell>
          <cell r="AF48">
            <v>111414.22</v>
          </cell>
        </row>
      </sheetData>
      <sheetData sheetId="4">
        <row r="167">
          <cell r="AE167">
            <v>0</v>
          </cell>
          <cell r="AF167">
            <v>1501635.1099999996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69AE-EA68-4292-8BC1-EA666AC97A2A}">
  <dimension ref="A1:G2"/>
  <sheetViews>
    <sheetView workbookViewId="0" topLeftCell="A1">
      <selection activeCell="A2" sqref="A2:G2"/>
    </sheetView>
  </sheetViews>
  <sheetFormatPr defaultColWidth="8.8515625" defaultRowHeight="15"/>
  <cols>
    <col min="1" max="16384" width="8.8515625" style="210" customWidth="1"/>
  </cols>
  <sheetData>
    <row r="1" ht="15">
      <c r="A1" s="345" t="s">
        <v>2469</v>
      </c>
    </row>
    <row r="2" spans="1:7" ht="57.75" customHeight="1">
      <c r="A2" s="541" t="s">
        <v>2470</v>
      </c>
      <c r="B2" s="541"/>
      <c r="C2" s="541"/>
      <c r="D2" s="541"/>
      <c r="E2" s="541"/>
      <c r="F2" s="541"/>
      <c r="G2" s="541"/>
    </row>
  </sheetData>
  <sheetProtection formatRows="0"/>
  <mergeCells count="1">
    <mergeCell ref="A2:G2"/>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A3272-1304-4474-8311-990E0B097395}">
  <dimension ref="A1:BL65"/>
  <sheetViews>
    <sheetView view="pageBreakPreview" zoomScale="115" zoomScaleSheetLayoutView="115" workbookViewId="0" topLeftCell="A28">
      <selection activeCell="D48" sqref="D48"/>
    </sheetView>
  </sheetViews>
  <sheetFormatPr defaultColWidth="11.57421875" defaultRowHeight="15"/>
  <cols>
    <col min="1" max="1" width="3.7109375" style="1" customWidth="1"/>
    <col min="2" max="2" width="14.28125" style="1" customWidth="1"/>
    <col min="3" max="3" width="15.7109375" style="1" customWidth="1"/>
    <col min="4" max="4" width="31.2812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15.7109375" style="1" customWidth="1"/>
    <col min="260" max="260" width="31.2812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15.7109375" style="1" customWidth="1"/>
    <col min="516" max="516" width="31.2812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15.7109375" style="1" customWidth="1"/>
    <col min="772" max="772" width="31.2812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15.7109375" style="1" customWidth="1"/>
    <col min="1028" max="1028" width="31.2812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15.7109375" style="1" customWidth="1"/>
    <col min="1284" max="1284" width="31.2812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15.7109375" style="1" customWidth="1"/>
    <col min="1540" max="1540" width="31.2812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15.7109375" style="1" customWidth="1"/>
    <col min="1796" max="1796" width="31.2812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15.7109375" style="1" customWidth="1"/>
    <col min="2052" max="2052" width="31.2812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15.7109375" style="1" customWidth="1"/>
    <col min="2308" max="2308" width="31.2812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15.7109375" style="1" customWidth="1"/>
    <col min="2564" max="2564" width="31.2812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15.7109375" style="1" customWidth="1"/>
    <col min="2820" max="2820" width="31.2812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15.7109375" style="1" customWidth="1"/>
    <col min="3076" max="3076" width="31.2812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15.7109375" style="1" customWidth="1"/>
    <col min="3332" max="3332" width="31.2812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15.7109375" style="1" customWidth="1"/>
    <col min="3588" max="3588" width="31.2812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15.7109375" style="1" customWidth="1"/>
    <col min="3844" max="3844" width="31.2812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15.7109375" style="1" customWidth="1"/>
    <col min="4100" max="4100" width="31.2812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15.7109375" style="1" customWidth="1"/>
    <col min="4356" max="4356" width="31.2812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15.7109375" style="1" customWidth="1"/>
    <col min="4612" max="4612" width="31.2812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15.7109375" style="1" customWidth="1"/>
    <col min="4868" max="4868" width="31.2812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15.7109375" style="1" customWidth="1"/>
    <col min="5124" max="5124" width="31.2812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15.7109375" style="1" customWidth="1"/>
    <col min="5380" max="5380" width="31.2812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15.7109375" style="1" customWidth="1"/>
    <col min="5636" max="5636" width="31.2812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15.7109375" style="1" customWidth="1"/>
    <col min="5892" max="5892" width="31.2812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15.7109375" style="1" customWidth="1"/>
    <col min="6148" max="6148" width="31.2812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15.7109375" style="1" customWidth="1"/>
    <col min="6404" max="6404" width="31.2812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15.7109375" style="1" customWidth="1"/>
    <col min="6660" max="6660" width="31.2812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15.7109375" style="1" customWidth="1"/>
    <col min="6916" max="6916" width="31.2812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15.7109375" style="1" customWidth="1"/>
    <col min="7172" max="7172" width="31.2812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15.7109375" style="1" customWidth="1"/>
    <col min="7428" max="7428" width="31.2812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15.7109375" style="1" customWidth="1"/>
    <col min="7684" max="7684" width="31.2812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15.7109375" style="1" customWidth="1"/>
    <col min="7940" max="7940" width="31.2812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15.7109375" style="1" customWidth="1"/>
    <col min="8196" max="8196" width="31.2812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15.7109375" style="1" customWidth="1"/>
    <col min="8452" max="8452" width="31.2812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15.7109375" style="1" customWidth="1"/>
    <col min="8708" max="8708" width="31.2812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15.7109375" style="1" customWidth="1"/>
    <col min="8964" max="8964" width="31.2812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15.7109375" style="1" customWidth="1"/>
    <col min="9220" max="9220" width="31.2812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15.7109375" style="1" customWidth="1"/>
    <col min="9476" max="9476" width="31.2812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15.7109375" style="1" customWidth="1"/>
    <col min="9732" max="9732" width="31.2812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15.7109375" style="1" customWidth="1"/>
    <col min="9988" max="9988" width="31.2812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15.7109375" style="1" customWidth="1"/>
    <col min="10244" max="10244" width="31.2812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15.7109375" style="1" customWidth="1"/>
    <col min="10500" max="10500" width="31.2812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15.7109375" style="1" customWidth="1"/>
    <col min="10756" max="10756" width="31.2812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15.7109375" style="1" customWidth="1"/>
    <col min="11012" max="11012" width="31.2812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15.7109375" style="1" customWidth="1"/>
    <col min="11268" max="11268" width="31.2812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15.7109375" style="1" customWidth="1"/>
    <col min="11524" max="11524" width="31.2812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15.7109375" style="1" customWidth="1"/>
    <col min="11780" max="11780" width="31.2812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15.7109375" style="1" customWidth="1"/>
    <col min="12036" max="12036" width="31.2812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15.7109375" style="1" customWidth="1"/>
    <col min="12292" max="12292" width="31.2812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15.7109375" style="1" customWidth="1"/>
    <col min="12548" max="12548" width="31.2812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15.7109375" style="1" customWidth="1"/>
    <col min="12804" max="12804" width="31.2812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15.7109375" style="1" customWidth="1"/>
    <col min="13060" max="13060" width="31.2812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15.7109375" style="1" customWidth="1"/>
    <col min="13316" max="13316" width="31.2812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15.7109375" style="1" customWidth="1"/>
    <col min="13572" max="13572" width="31.2812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15.7109375" style="1" customWidth="1"/>
    <col min="13828" max="13828" width="31.2812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15.7109375" style="1" customWidth="1"/>
    <col min="14084" max="14084" width="31.2812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15.7109375" style="1" customWidth="1"/>
    <col min="14340" max="14340" width="31.2812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15.7109375" style="1" customWidth="1"/>
    <col min="14596" max="14596" width="31.2812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15.7109375" style="1" customWidth="1"/>
    <col min="14852" max="14852" width="31.2812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15.7109375" style="1" customWidth="1"/>
    <col min="15108" max="15108" width="31.2812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15.7109375" style="1" customWidth="1"/>
    <col min="15364" max="15364" width="31.2812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15.7109375" style="1" customWidth="1"/>
    <col min="15620" max="15620" width="31.2812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15.7109375" style="1" customWidth="1"/>
    <col min="15876" max="15876" width="31.2812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15.7109375" style="1" customWidth="1"/>
    <col min="16132" max="16132" width="31.2812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622</v>
      </c>
      <c r="D2" s="610"/>
      <c r="E2" s="612" t="s">
        <v>3</v>
      </c>
      <c r="F2" s="606"/>
      <c r="G2" s="612" t="s">
        <v>4</v>
      </c>
      <c r="H2" s="613" t="s">
        <v>5</v>
      </c>
      <c r="I2" s="613" t="s">
        <v>6</v>
      </c>
      <c r="J2" s="606"/>
      <c r="K2" s="606"/>
      <c r="L2" s="606"/>
      <c r="M2" s="614"/>
      <c r="N2" s="2"/>
    </row>
    <row r="3" spans="1:14" ht="30.6" customHeight="1">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76</v>
      </c>
      <c r="C12" s="629" t="s">
        <v>77</v>
      </c>
      <c r="D12" s="630"/>
      <c r="E12" s="37" t="s">
        <v>4</v>
      </c>
      <c r="F12" s="37" t="s">
        <v>4</v>
      </c>
      <c r="G12" s="37" t="s">
        <v>4</v>
      </c>
      <c r="H12" s="38">
        <f>SUM(H13:H16)</f>
        <v>0</v>
      </c>
      <c r="I12" s="38">
        <f>SUM(I13:I16)</f>
        <v>0</v>
      </c>
      <c r="J12" s="38">
        <f>SUM(J13:J16)</f>
        <v>0</v>
      </c>
      <c r="K12" s="39"/>
      <c r="L12" s="38">
        <f>SUM(L13:L16)</f>
        <v>0</v>
      </c>
      <c r="M12" s="40"/>
      <c r="N12" s="2"/>
      <c r="AI12" s="10"/>
      <c r="AS12" s="19">
        <f>SUM(AJ13:AJ16)</f>
        <v>0</v>
      </c>
      <c r="AT12" s="19">
        <f>SUM(AK13:AK16)</f>
        <v>0</v>
      </c>
      <c r="AU12" s="19">
        <f>SUM(AL13:AL16)</f>
        <v>0</v>
      </c>
    </row>
    <row r="13" spans="1:64" ht="15">
      <c r="A13" s="20" t="s">
        <v>51</v>
      </c>
      <c r="B13" s="3" t="s">
        <v>79</v>
      </c>
      <c r="C13" s="618" t="s">
        <v>80</v>
      </c>
      <c r="D13" s="608"/>
      <c r="E13" s="3" t="s">
        <v>81</v>
      </c>
      <c r="F13" s="21">
        <v>10.5</v>
      </c>
      <c r="G13" s="537"/>
      <c r="H13" s="21">
        <f>F13*AO13</f>
        <v>0</v>
      </c>
      <c r="I13" s="21">
        <f>F13*AP13</f>
        <v>0</v>
      </c>
      <c r="J13" s="21">
        <f>F13*G13</f>
        <v>0</v>
      </c>
      <c r="K13" s="21">
        <v>0</v>
      </c>
      <c r="L13" s="21">
        <f>F13*K13</f>
        <v>0</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82</v>
      </c>
      <c r="AZ13" s="23" t="s">
        <v>57</v>
      </c>
      <c r="BA13" s="10" t="s">
        <v>58</v>
      </c>
      <c r="BC13" s="21">
        <f>AW13+AX13</f>
        <v>0</v>
      </c>
      <c r="BD13" s="21">
        <f>G13/(100-BE13)*100</f>
        <v>0</v>
      </c>
      <c r="BE13" s="21">
        <v>0</v>
      </c>
      <c r="BF13" s="21">
        <f>L13</f>
        <v>0</v>
      </c>
      <c r="BH13" s="21">
        <f>F13*AO13</f>
        <v>0</v>
      </c>
      <c r="BI13" s="21">
        <f>F13*AP13</f>
        <v>0</v>
      </c>
      <c r="BJ13" s="21">
        <f>F13*G13</f>
        <v>0</v>
      </c>
      <c r="BK13" s="21" t="s">
        <v>59</v>
      </c>
      <c r="BL13" s="21">
        <v>12</v>
      </c>
    </row>
    <row r="14" spans="1:14" ht="15">
      <c r="A14" s="2"/>
      <c r="C14" s="24" t="s">
        <v>623</v>
      </c>
      <c r="D14" s="24"/>
      <c r="F14" s="25">
        <v>10.5</v>
      </c>
      <c r="M14" s="26"/>
      <c r="N14" s="2"/>
    </row>
    <row r="15" spans="1:14" ht="15">
      <c r="A15" s="2"/>
      <c r="B15" s="27" t="s">
        <v>61</v>
      </c>
      <c r="C15" s="634" t="s">
        <v>84</v>
      </c>
      <c r="D15" s="635"/>
      <c r="E15" s="635"/>
      <c r="F15" s="635"/>
      <c r="G15" s="635"/>
      <c r="H15" s="635"/>
      <c r="I15" s="635"/>
      <c r="J15" s="635"/>
      <c r="K15" s="635"/>
      <c r="L15" s="635"/>
      <c r="M15" s="636"/>
      <c r="N15" s="2"/>
    </row>
    <row r="16" spans="1:64" ht="15">
      <c r="A16" s="20" t="s">
        <v>63</v>
      </c>
      <c r="B16" s="3" t="s">
        <v>401</v>
      </c>
      <c r="C16" s="618" t="s">
        <v>402</v>
      </c>
      <c r="D16" s="608"/>
      <c r="E16" s="3" t="s">
        <v>81</v>
      </c>
      <c r="F16" s="21">
        <v>32</v>
      </c>
      <c r="G16" s="537"/>
      <c r="H16" s="21">
        <f>F16*AO16</f>
        <v>0</v>
      </c>
      <c r="I16" s="21">
        <f>F16*AP16</f>
        <v>0</v>
      </c>
      <c r="J16" s="21">
        <f>F16*G16</f>
        <v>0</v>
      </c>
      <c r="K16" s="21">
        <v>0</v>
      </c>
      <c r="L16" s="21">
        <f>F16*K16</f>
        <v>0</v>
      </c>
      <c r="M16" s="22" t="s">
        <v>55</v>
      </c>
      <c r="N16" s="2"/>
      <c r="Z16" s="21">
        <f>IF(AQ16="5",BJ16,0)</f>
        <v>0</v>
      </c>
      <c r="AB16" s="21">
        <f>IF(AQ16="1",BH16,0)</f>
        <v>0</v>
      </c>
      <c r="AC16" s="21">
        <f>IF(AQ16="1",BI16,0)</f>
        <v>0</v>
      </c>
      <c r="AD16" s="21">
        <f>IF(AQ16="7",BH16,0)</f>
        <v>0</v>
      </c>
      <c r="AE16" s="21">
        <f>IF(AQ16="7",BI16,0)</f>
        <v>0</v>
      </c>
      <c r="AF16" s="21">
        <f>IF(AQ16="2",BH16,0)</f>
        <v>0</v>
      </c>
      <c r="AG16" s="21">
        <f>IF(AQ16="2",BI16,0)</f>
        <v>0</v>
      </c>
      <c r="AH16" s="21">
        <f>IF(AQ16="0",BJ16,0)</f>
        <v>0</v>
      </c>
      <c r="AI16" s="10"/>
      <c r="AJ16" s="21">
        <f>IF(AN16=0,J16,0)</f>
        <v>0</v>
      </c>
      <c r="AK16" s="21">
        <f>IF(AN16=15,J16,0)</f>
        <v>0</v>
      </c>
      <c r="AL16" s="21">
        <f>IF(AN16=21,J16,0)</f>
        <v>0</v>
      </c>
      <c r="AN16" s="21">
        <v>21</v>
      </c>
      <c r="AO16" s="21">
        <f>G16*0</f>
        <v>0</v>
      </c>
      <c r="AP16" s="21">
        <f>G16*(1-0)</f>
        <v>0</v>
      </c>
      <c r="AQ16" s="23" t="s">
        <v>51</v>
      </c>
      <c r="AV16" s="21">
        <f>AW16+AX16</f>
        <v>0</v>
      </c>
      <c r="AW16" s="21">
        <f>F16*AO16</f>
        <v>0</v>
      </c>
      <c r="AX16" s="21">
        <f>F16*AP16</f>
        <v>0</v>
      </c>
      <c r="AY16" s="23" t="s">
        <v>82</v>
      </c>
      <c r="AZ16" s="23" t="s">
        <v>57</v>
      </c>
      <c r="BA16" s="10" t="s">
        <v>58</v>
      </c>
      <c r="BC16" s="21">
        <f>AW16+AX16</f>
        <v>0</v>
      </c>
      <c r="BD16" s="21">
        <f>G16/(100-BE16)*100</f>
        <v>0</v>
      </c>
      <c r="BE16" s="21">
        <v>0</v>
      </c>
      <c r="BF16" s="21">
        <f>L16</f>
        <v>0</v>
      </c>
      <c r="BH16" s="21">
        <f>F16*AO16</f>
        <v>0</v>
      </c>
      <c r="BI16" s="21">
        <f>F16*AP16</f>
        <v>0</v>
      </c>
      <c r="BJ16" s="21">
        <f>F16*G16</f>
        <v>0</v>
      </c>
      <c r="BK16" s="21" t="s">
        <v>59</v>
      </c>
      <c r="BL16" s="21">
        <v>12</v>
      </c>
    </row>
    <row r="17" spans="1:14" ht="15">
      <c r="A17" s="2"/>
      <c r="C17" s="24" t="s">
        <v>221</v>
      </c>
      <c r="D17" s="24"/>
      <c r="F17" s="25">
        <v>32</v>
      </c>
      <c r="M17" s="26"/>
      <c r="N17" s="2"/>
    </row>
    <row r="18" spans="1:47" ht="15">
      <c r="A18" s="41"/>
      <c r="B18" s="42" t="s">
        <v>92</v>
      </c>
      <c r="C18" s="637" t="s">
        <v>93</v>
      </c>
      <c r="D18" s="638"/>
      <c r="E18" s="43" t="s">
        <v>4</v>
      </c>
      <c r="F18" s="43" t="s">
        <v>4</v>
      </c>
      <c r="G18" s="43" t="s">
        <v>4</v>
      </c>
      <c r="H18" s="44">
        <f>SUM(H19:H21)</f>
        <v>0</v>
      </c>
      <c r="I18" s="44">
        <f>SUM(I19:I21)</f>
        <v>0</v>
      </c>
      <c r="J18" s="44">
        <f>SUM(J19:J21)</f>
        <v>0</v>
      </c>
      <c r="K18" s="45"/>
      <c r="L18" s="44">
        <f>SUM(L19:L21)</f>
        <v>0</v>
      </c>
      <c r="M18" s="46"/>
      <c r="N18" s="2"/>
      <c r="AI18" s="10"/>
      <c r="AS18" s="19">
        <f>SUM(AJ19:AJ21)</f>
        <v>0</v>
      </c>
      <c r="AT18" s="19">
        <f>SUM(AK19:AK21)</f>
        <v>0</v>
      </c>
      <c r="AU18" s="19">
        <f>SUM(AL19:AL21)</f>
        <v>0</v>
      </c>
    </row>
    <row r="19" spans="1:64" ht="15">
      <c r="A19" s="20" t="s">
        <v>67</v>
      </c>
      <c r="B19" s="3" t="s">
        <v>95</v>
      </c>
      <c r="C19" s="618" t="s">
        <v>96</v>
      </c>
      <c r="D19" s="608"/>
      <c r="E19" s="3" t="s">
        <v>81</v>
      </c>
      <c r="F19" s="21">
        <v>10.5</v>
      </c>
      <c r="G19" s="537"/>
      <c r="H19" s="21">
        <f>F19*AO19</f>
        <v>0</v>
      </c>
      <c r="I19" s="21">
        <f>F19*AP19</f>
        <v>0</v>
      </c>
      <c r="J19" s="21">
        <f>F19*G19</f>
        <v>0</v>
      </c>
      <c r="K19" s="21">
        <v>0</v>
      </c>
      <c r="L19" s="21">
        <f>F19*K19</f>
        <v>0</v>
      </c>
      <c r="M19" s="22" t="s">
        <v>55</v>
      </c>
      <c r="N19" s="2"/>
      <c r="Z19" s="21">
        <f>IF(AQ19="5",BJ19,0)</f>
        <v>0</v>
      </c>
      <c r="AB19" s="21">
        <f>IF(AQ19="1",BH19,0)</f>
        <v>0</v>
      </c>
      <c r="AC19" s="21">
        <f>IF(AQ19="1",BI19,0)</f>
        <v>0</v>
      </c>
      <c r="AD19" s="21">
        <f>IF(AQ19="7",BH19,0)</f>
        <v>0</v>
      </c>
      <c r="AE19" s="21">
        <f>IF(AQ19="7",BI19,0)</f>
        <v>0</v>
      </c>
      <c r="AF19" s="21">
        <f>IF(AQ19="2",BH19,0)</f>
        <v>0</v>
      </c>
      <c r="AG19" s="21">
        <f>IF(AQ19="2",BI19,0)</f>
        <v>0</v>
      </c>
      <c r="AH19" s="21">
        <f>IF(AQ19="0",BJ19,0)</f>
        <v>0</v>
      </c>
      <c r="AI19" s="10"/>
      <c r="AJ19" s="21">
        <f>IF(AN19=0,J19,0)</f>
        <v>0</v>
      </c>
      <c r="AK19" s="21">
        <f>IF(AN19=15,J19,0)</f>
        <v>0</v>
      </c>
      <c r="AL19" s="21">
        <f>IF(AN19=21,J19,0)</f>
        <v>0</v>
      </c>
      <c r="AN19" s="21">
        <v>21</v>
      </c>
      <c r="AO19" s="21">
        <f>G19*0</f>
        <v>0</v>
      </c>
      <c r="AP19" s="21">
        <f>G19*(1-0)</f>
        <v>0</v>
      </c>
      <c r="AQ19" s="23" t="s">
        <v>51</v>
      </c>
      <c r="AV19" s="21">
        <f>AW19+AX19</f>
        <v>0</v>
      </c>
      <c r="AW19" s="21">
        <f>F19*AO19</f>
        <v>0</v>
      </c>
      <c r="AX19" s="21">
        <f>F19*AP19</f>
        <v>0</v>
      </c>
      <c r="AY19" s="23" t="s">
        <v>97</v>
      </c>
      <c r="AZ19" s="23" t="s">
        <v>57</v>
      </c>
      <c r="BA19" s="10" t="s">
        <v>58</v>
      </c>
      <c r="BC19" s="21">
        <f>AW19+AX19</f>
        <v>0</v>
      </c>
      <c r="BD19" s="21">
        <f>G19/(100-BE19)*100</f>
        <v>0</v>
      </c>
      <c r="BE19" s="21">
        <v>0</v>
      </c>
      <c r="BF19" s="21">
        <f>L19</f>
        <v>0</v>
      </c>
      <c r="BH19" s="21">
        <f>F19*AO19</f>
        <v>0</v>
      </c>
      <c r="BI19" s="21">
        <f>F19*AP19</f>
        <v>0</v>
      </c>
      <c r="BJ19" s="21">
        <f>F19*G19</f>
        <v>0</v>
      </c>
      <c r="BK19" s="21" t="s">
        <v>59</v>
      </c>
      <c r="BL19" s="21">
        <v>16</v>
      </c>
    </row>
    <row r="20" spans="1:14" ht="15">
      <c r="A20" s="2"/>
      <c r="C20" s="24" t="s">
        <v>624</v>
      </c>
      <c r="D20" s="24"/>
      <c r="F20" s="25">
        <v>10.5</v>
      </c>
      <c r="M20" s="26"/>
      <c r="N20" s="2"/>
    </row>
    <row r="21" spans="1:64" ht="15">
      <c r="A21" s="20" t="s">
        <v>71</v>
      </c>
      <c r="B21" s="3" t="s">
        <v>99</v>
      </c>
      <c r="C21" s="618" t="s">
        <v>100</v>
      </c>
      <c r="D21" s="608"/>
      <c r="E21" s="3" t="s">
        <v>81</v>
      </c>
      <c r="F21" s="21">
        <v>32</v>
      </c>
      <c r="G21" s="537"/>
      <c r="H21" s="21">
        <f>F21*AO21</f>
        <v>0</v>
      </c>
      <c r="I21" s="21">
        <f>F21*AP21</f>
        <v>0</v>
      </c>
      <c r="J21" s="21">
        <f>F21*G21</f>
        <v>0</v>
      </c>
      <c r="K21" s="21">
        <v>0</v>
      </c>
      <c r="L21" s="21">
        <f>F21*K21</f>
        <v>0</v>
      </c>
      <c r="M21" s="22" t="s">
        <v>55</v>
      </c>
      <c r="N21" s="2"/>
      <c r="Z21" s="21">
        <f>IF(AQ21="5",BJ21,0)</f>
        <v>0</v>
      </c>
      <c r="AB21" s="21">
        <f>IF(AQ21="1",BH21,0)</f>
        <v>0</v>
      </c>
      <c r="AC21" s="21">
        <f>IF(AQ21="1",BI21,0)</f>
        <v>0</v>
      </c>
      <c r="AD21" s="21">
        <f>IF(AQ21="7",BH21,0)</f>
        <v>0</v>
      </c>
      <c r="AE21" s="21">
        <f>IF(AQ21="7",BI21,0)</f>
        <v>0</v>
      </c>
      <c r="AF21" s="21">
        <f>IF(AQ21="2",BH21,0)</f>
        <v>0</v>
      </c>
      <c r="AG21" s="21">
        <f>IF(AQ21="2",BI21,0)</f>
        <v>0</v>
      </c>
      <c r="AH21" s="21">
        <f>IF(AQ21="0",BJ21,0)</f>
        <v>0</v>
      </c>
      <c r="AI21" s="10"/>
      <c r="AJ21" s="21">
        <f>IF(AN21=0,J21,0)</f>
        <v>0</v>
      </c>
      <c r="AK21" s="21">
        <f>IF(AN21=15,J21,0)</f>
        <v>0</v>
      </c>
      <c r="AL21" s="21">
        <f>IF(AN21=21,J21,0)</f>
        <v>0</v>
      </c>
      <c r="AN21" s="21">
        <v>21</v>
      </c>
      <c r="AO21" s="21">
        <f>G21*0</f>
        <v>0</v>
      </c>
      <c r="AP21" s="21">
        <f>G21*(1-0)</f>
        <v>0</v>
      </c>
      <c r="AQ21" s="23" t="s">
        <v>51</v>
      </c>
      <c r="AV21" s="21">
        <f>AW21+AX21</f>
        <v>0</v>
      </c>
      <c r="AW21" s="21">
        <f>F21*AO21</f>
        <v>0</v>
      </c>
      <c r="AX21" s="21">
        <f>F21*AP21</f>
        <v>0</v>
      </c>
      <c r="AY21" s="23" t="s">
        <v>97</v>
      </c>
      <c r="AZ21" s="23" t="s">
        <v>57</v>
      </c>
      <c r="BA21" s="10" t="s">
        <v>58</v>
      </c>
      <c r="BC21" s="21">
        <f>AW21+AX21</f>
        <v>0</v>
      </c>
      <c r="BD21" s="21">
        <f>G21/(100-BE21)*100</f>
        <v>0</v>
      </c>
      <c r="BE21" s="21">
        <v>0</v>
      </c>
      <c r="BF21" s="21">
        <f>L21</f>
        <v>0</v>
      </c>
      <c r="BH21" s="21">
        <f>F21*AO21</f>
        <v>0</v>
      </c>
      <c r="BI21" s="21">
        <f>F21*AP21</f>
        <v>0</v>
      </c>
      <c r="BJ21" s="21">
        <f>F21*G21</f>
        <v>0</v>
      </c>
      <c r="BK21" s="21" t="s">
        <v>59</v>
      </c>
      <c r="BL21" s="21">
        <v>16</v>
      </c>
    </row>
    <row r="22" spans="1:14" ht="15">
      <c r="A22" s="2"/>
      <c r="C22" s="24" t="s">
        <v>221</v>
      </c>
      <c r="D22" s="24"/>
      <c r="F22" s="25">
        <v>32</v>
      </c>
      <c r="M22" s="26"/>
      <c r="N22" s="2"/>
    </row>
    <row r="23" spans="1:47" ht="15">
      <c r="A23" s="41"/>
      <c r="B23" s="42" t="s">
        <v>114</v>
      </c>
      <c r="C23" s="637" t="s">
        <v>115</v>
      </c>
      <c r="D23" s="638"/>
      <c r="E23" s="43" t="s">
        <v>4</v>
      </c>
      <c r="F23" s="43" t="s">
        <v>4</v>
      </c>
      <c r="G23" s="43" t="s">
        <v>4</v>
      </c>
      <c r="H23" s="44">
        <f>SUM(H24:H24)</f>
        <v>0</v>
      </c>
      <c r="I23" s="44">
        <f>SUM(I24:I24)</f>
        <v>0</v>
      </c>
      <c r="J23" s="44">
        <f>SUM(J24:J24)</f>
        <v>0</v>
      </c>
      <c r="K23" s="45"/>
      <c r="L23" s="44">
        <f>SUM(L24:L24)</f>
        <v>0</v>
      </c>
      <c r="M23" s="46"/>
      <c r="N23" s="2"/>
      <c r="AI23" s="10"/>
      <c r="AS23" s="19">
        <f>SUM(AJ24:AJ24)</f>
        <v>0</v>
      </c>
      <c r="AT23" s="19">
        <f>SUM(AK24:AK24)</f>
        <v>0</v>
      </c>
      <c r="AU23" s="19">
        <f>SUM(AL24:AL24)</f>
        <v>0</v>
      </c>
    </row>
    <row r="24" spans="1:64" ht="15">
      <c r="A24" s="20" t="s">
        <v>78</v>
      </c>
      <c r="B24" s="3" t="s">
        <v>116</v>
      </c>
      <c r="C24" s="618" t="s">
        <v>117</v>
      </c>
      <c r="D24" s="608"/>
      <c r="E24" s="3" t="s">
        <v>54</v>
      </c>
      <c r="F24" s="21">
        <v>43</v>
      </c>
      <c r="G24" s="537"/>
      <c r="H24" s="21">
        <f>F24*AO24</f>
        <v>0</v>
      </c>
      <c r="I24" s="21">
        <f>F24*AP24</f>
        <v>0</v>
      </c>
      <c r="J24" s="21">
        <f>F24*G24</f>
        <v>0</v>
      </c>
      <c r="K24" s="21">
        <v>0</v>
      </c>
      <c r="L24" s="21">
        <f>F24*K24</f>
        <v>0</v>
      </c>
      <c r="M24" s="22" t="s">
        <v>55</v>
      </c>
      <c r="N24" s="2"/>
      <c r="Z24" s="21">
        <f>IF(AQ24="5",BJ24,0)</f>
        <v>0</v>
      </c>
      <c r="AB24" s="21">
        <f>IF(AQ24="1",BH24,0)</f>
        <v>0</v>
      </c>
      <c r="AC24" s="21">
        <f>IF(AQ24="1",BI24,0)</f>
        <v>0</v>
      </c>
      <c r="AD24" s="21">
        <f>IF(AQ24="7",BH24,0)</f>
        <v>0</v>
      </c>
      <c r="AE24" s="21">
        <f>IF(AQ24="7",BI24,0)</f>
        <v>0</v>
      </c>
      <c r="AF24" s="21">
        <f>IF(AQ24="2",BH24,0)</f>
        <v>0</v>
      </c>
      <c r="AG24" s="21">
        <f>IF(AQ24="2",BI24,0)</f>
        <v>0</v>
      </c>
      <c r="AH24" s="21">
        <f>IF(AQ24="0",BJ24,0)</f>
        <v>0</v>
      </c>
      <c r="AI24" s="10"/>
      <c r="AJ24" s="21">
        <f>IF(AN24=0,J24,0)</f>
        <v>0</v>
      </c>
      <c r="AK24" s="21">
        <f>IF(AN24=15,J24,0)</f>
        <v>0</v>
      </c>
      <c r="AL24" s="21">
        <f>IF(AN24=21,J24,0)</f>
        <v>0</v>
      </c>
      <c r="AN24" s="21">
        <v>21</v>
      </c>
      <c r="AO24" s="21">
        <f>G24*0</f>
        <v>0</v>
      </c>
      <c r="AP24" s="21">
        <f>G24*(1-0)</f>
        <v>0</v>
      </c>
      <c r="AQ24" s="23" t="s">
        <v>51</v>
      </c>
      <c r="AV24" s="21">
        <f>AW24+AX24</f>
        <v>0</v>
      </c>
      <c r="AW24" s="21">
        <f>F24*AO24</f>
        <v>0</v>
      </c>
      <c r="AX24" s="21">
        <f>F24*AP24</f>
        <v>0</v>
      </c>
      <c r="AY24" s="23" t="s">
        <v>118</v>
      </c>
      <c r="AZ24" s="23" t="s">
        <v>57</v>
      </c>
      <c r="BA24" s="10" t="s">
        <v>58</v>
      </c>
      <c r="BC24" s="21">
        <f>AW24+AX24</f>
        <v>0</v>
      </c>
      <c r="BD24" s="21">
        <f>G24/(100-BE24)*100</f>
        <v>0</v>
      </c>
      <c r="BE24" s="21">
        <v>0</v>
      </c>
      <c r="BF24" s="21">
        <f>L24</f>
        <v>0</v>
      </c>
      <c r="BH24" s="21">
        <f>F24*AO24</f>
        <v>0</v>
      </c>
      <c r="BI24" s="21">
        <f>F24*AP24</f>
        <v>0</v>
      </c>
      <c r="BJ24" s="21">
        <f>F24*G24</f>
        <v>0</v>
      </c>
      <c r="BK24" s="21" t="s">
        <v>59</v>
      </c>
      <c r="BL24" s="21">
        <v>18</v>
      </c>
    </row>
    <row r="25" spans="1:14" ht="15">
      <c r="A25" s="2"/>
      <c r="C25" s="24" t="s">
        <v>625</v>
      </c>
      <c r="D25" s="24"/>
      <c r="F25" s="25">
        <v>43</v>
      </c>
      <c r="M25" s="26"/>
      <c r="N25" s="2"/>
    </row>
    <row r="26" spans="1:14" ht="15">
      <c r="A26" s="2"/>
      <c r="B26" s="27" t="s">
        <v>61</v>
      </c>
      <c r="C26" s="634" t="s">
        <v>120</v>
      </c>
      <c r="D26" s="635"/>
      <c r="E26" s="635"/>
      <c r="F26" s="635"/>
      <c r="G26" s="635"/>
      <c r="H26" s="635"/>
      <c r="I26" s="635"/>
      <c r="J26" s="635"/>
      <c r="K26" s="635"/>
      <c r="L26" s="635"/>
      <c r="M26" s="636"/>
      <c r="N26" s="2"/>
    </row>
    <row r="27" spans="1:47" ht="15">
      <c r="A27" s="41"/>
      <c r="B27" s="42" t="s">
        <v>121</v>
      </c>
      <c r="C27" s="637" t="s">
        <v>122</v>
      </c>
      <c r="D27" s="638"/>
      <c r="E27" s="43" t="s">
        <v>4</v>
      </c>
      <c r="F27" s="43" t="s">
        <v>4</v>
      </c>
      <c r="G27" s="43" t="s">
        <v>4</v>
      </c>
      <c r="H27" s="44">
        <f>SUM(H28:H30)</f>
        <v>0</v>
      </c>
      <c r="I27" s="44">
        <f>SUM(I28:I30)</f>
        <v>0</v>
      </c>
      <c r="J27" s="44">
        <f>SUM(J28:J30)</f>
        <v>0</v>
      </c>
      <c r="K27" s="45"/>
      <c r="L27" s="44">
        <f>SUM(L28:L30)</f>
        <v>0</v>
      </c>
      <c r="M27" s="46"/>
      <c r="N27" s="2"/>
      <c r="AI27" s="10"/>
      <c r="AS27" s="19">
        <f>SUM(AJ28:AJ30)</f>
        <v>0</v>
      </c>
      <c r="AT27" s="19">
        <f>SUM(AK28:AK30)</f>
        <v>0</v>
      </c>
      <c r="AU27" s="19">
        <f>SUM(AL28:AL30)</f>
        <v>0</v>
      </c>
    </row>
    <row r="28" spans="1:64" ht="15">
      <c r="A28" s="20" t="s">
        <v>85</v>
      </c>
      <c r="B28" s="3" t="s">
        <v>129</v>
      </c>
      <c r="C28" s="618" t="s">
        <v>130</v>
      </c>
      <c r="D28" s="608"/>
      <c r="E28" s="3" t="s">
        <v>125</v>
      </c>
      <c r="F28" s="21">
        <v>16.8</v>
      </c>
      <c r="G28" s="537"/>
      <c r="H28" s="21">
        <f>F28*AO28</f>
        <v>0</v>
      </c>
      <c r="I28" s="21">
        <f>F28*AP28</f>
        <v>0</v>
      </c>
      <c r="J28" s="21">
        <f>F28*G28</f>
        <v>0</v>
      </c>
      <c r="K28" s="21">
        <v>0</v>
      </c>
      <c r="L28" s="21">
        <f>F28*K28</f>
        <v>0</v>
      </c>
      <c r="M28" s="22" t="s">
        <v>55</v>
      </c>
      <c r="N28" s="2"/>
      <c r="Z28" s="21">
        <f>IF(AQ28="5",BJ28,0)</f>
        <v>0</v>
      </c>
      <c r="AB28" s="21">
        <f>IF(AQ28="1",BH28,0)</f>
        <v>0</v>
      </c>
      <c r="AC28" s="21">
        <f>IF(AQ28="1",BI28,0)</f>
        <v>0</v>
      </c>
      <c r="AD28" s="21">
        <f>IF(AQ28="7",BH28,0)</f>
        <v>0</v>
      </c>
      <c r="AE28" s="21">
        <f>IF(AQ28="7",BI28,0)</f>
        <v>0</v>
      </c>
      <c r="AF28" s="21">
        <f>IF(AQ28="2",BH28,0)</f>
        <v>0</v>
      </c>
      <c r="AG28" s="21">
        <f>IF(AQ28="2",BI28,0)</f>
        <v>0</v>
      </c>
      <c r="AH28" s="21">
        <f>IF(AQ28="0",BJ28,0)</f>
        <v>0</v>
      </c>
      <c r="AI28" s="10"/>
      <c r="AJ28" s="21">
        <f>IF(AN28=0,J28,0)</f>
        <v>0</v>
      </c>
      <c r="AK28" s="21">
        <f>IF(AN28=15,J28,0)</f>
        <v>0</v>
      </c>
      <c r="AL28" s="21">
        <f>IF(AN28=21,J28,0)</f>
        <v>0</v>
      </c>
      <c r="AN28" s="21">
        <v>21</v>
      </c>
      <c r="AO28" s="21">
        <f>G28*0</f>
        <v>0</v>
      </c>
      <c r="AP28" s="21">
        <f>G28*(1-0)</f>
        <v>0</v>
      </c>
      <c r="AQ28" s="23" t="s">
        <v>51</v>
      </c>
      <c r="AV28" s="21">
        <f>AW28+AX28</f>
        <v>0</v>
      </c>
      <c r="AW28" s="21">
        <f>F28*AO28</f>
        <v>0</v>
      </c>
      <c r="AX28" s="21">
        <f>F28*AP28</f>
        <v>0</v>
      </c>
      <c r="AY28" s="23" t="s">
        <v>126</v>
      </c>
      <c r="AZ28" s="23" t="s">
        <v>57</v>
      </c>
      <c r="BA28" s="10" t="s">
        <v>58</v>
      </c>
      <c r="BC28" s="21">
        <f>AW28+AX28</f>
        <v>0</v>
      </c>
      <c r="BD28" s="21">
        <f>G28/(100-BE28)*100</f>
        <v>0</v>
      </c>
      <c r="BE28" s="21">
        <v>0</v>
      </c>
      <c r="BF28" s="21">
        <f>L28</f>
        <v>0</v>
      </c>
      <c r="BH28" s="21">
        <f>F28*AO28</f>
        <v>0</v>
      </c>
      <c r="BI28" s="21">
        <f>F28*AP28</f>
        <v>0</v>
      </c>
      <c r="BJ28" s="21">
        <f>F28*G28</f>
        <v>0</v>
      </c>
      <c r="BK28" s="21" t="s">
        <v>59</v>
      </c>
      <c r="BL28" s="21">
        <v>19</v>
      </c>
    </row>
    <row r="29" spans="1:14" ht="15">
      <c r="A29" s="2"/>
      <c r="C29" s="24" t="s">
        <v>626</v>
      </c>
      <c r="D29" s="24"/>
      <c r="F29" s="25">
        <v>16.8</v>
      </c>
      <c r="M29" s="26"/>
      <c r="N29" s="2"/>
    </row>
    <row r="30" spans="1:64" ht="15">
      <c r="A30" s="20" t="s">
        <v>89</v>
      </c>
      <c r="B30" s="3" t="s">
        <v>123</v>
      </c>
      <c r="C30" s="618" t="s">
        <v>124</v>
      </c>
      <c r="D30" s="608"/>
      <c r="E30" s="3" t="s">
        <v>125</v>
      </c>
      <c r="F30" s="21">
        <v>51.2</v>
      </c>
      <c r="G30" s="537"/>
      <c r="H30" s="21">
        <f>F30*AO30</f>
        <v>0</v>
      </c>
      <c r="I30" s="21">
        <f>F30*AP30</f>
        <v>0</v>
      </c>
      <c r="J30" s="21">
        <f>F30*G30</f>
        <v>0</v>
      </c>
      <c r="K30" s="21">
        <v>0</v>
      </c>
      <c r="L30" s="21">
        <f>F30*K30</f>
        <v>0</v>
      </c>
      <c r="M30" s="539" t="s">
        <v>2130</v>
      </c>
      <c r="N30" s="2"/>
      <c r="Z30" s="21">
        <f>IF(AQ30="5",BJ30,0)</f>
        <v>0</v>
      </c>
      <c r="AB30" s="21">
        <f>IF(AQ30="1",BH30,0)</f>
        <v>0</v>
      </c>
      <c r="AC30" s="21">
        <f>IF(AQ30="1",BI30,0)</f>
        <v>0</v>
      </c>
      <c r="AD30" s="21">
        <f>IF(AQ30="7",BH30,0)</f>
        <v>0</v>
      </c>
      <c r="AE30" s="21">
        <f>IF(AQ30="7",BI30,0)</f>
        <v>0</v>
      </c>
      <c r="AF30" s="21">
        <f>IF(AQ30="2",BH30,0)</f>
        <v>0</v>
      </c>
      <c r="AG30" s="21">
        <f>IF(AQ30="2",BI30,0)</f>
        <v>0</v>
      </c>
      <c r="AH30" s="21">
        <f>IF(AQ30="0",BJ30,0)</f>
        <v>0</v>
      </c>
      <c r="AI30" s="10"/>
      <c r="AJ30" s="21">
        <f>IF(AN30=0,J30,0)</f>
        <v>0</v>
      </c>
      <c r="AK30" s="21">
        <f>IF(AN30=15,J30,0)</f>
        <v>0</v>
      </c>
      <c r="AL30" s="21">
        <f>IF(AN30=21,J30,0)</f>
        <v>0</v>
      </c>
      <c r="AN30" s="21">
        <v>21</v>
      </c>
      <c r="AO30" s="21">
        <f>G30*0</f>
        <v>0</v>
      </c>
      <c r="AP30" s="21">
        <f>G30*(1-0)</f>
        <v>0</v>
      </c>
      <c r="AQ30" s="23" t="s">
        <v>51</v>
      </c>
      <c r="AV30" s="21">
        <f>AW30+AX30</f>
        <v>0</v>
      </c>
      <c r="AW30" s="21">
        <f>F30*AO30</f>
        <v>0</v>
      </c>
      <c r="AX30" s="21">
        <f>F30*AP30</f>
        <v>0</v>
      </c>
      <c r="AY30" s="23" t="s">
        <v>126</v>
      </c>
      <c r="AZ30" s="23" t="s">
        <v>57</v>
      </c>
      <c r="BA30" s="10" t="s">
        <v>58</v>
      </c>
      <c r="BC30" s="21">
        <f>AW30+AX30</f>
        <v>0</v>
      </c>
      <c r="BD30" s="21">
        <f>G30/(100-BE30)*100</f>
        <v>0</v>
      </c>
      <c r="BE30" s="21">
        <v>0</v>
      </c>
      <c r="BF30" s="21">
        <f>L30</f>
        <v>0</v>
      </c>
      <c r="BH30" s="21">
        <f>F30*AO30</f>
        <v>0</v>
      </c>
      <c r="BI30" s="21">
        <f>F30*AP30</f>
        <v>0</v>
      </c>
      <c r="BJ30" s="21">
        <f>F30*G30</f>
        <v>0</v>
      </c>
      <c r="BK30" s="21" t="s">
        <v>59</v>
      </c>
      <c r="BL30" s="21">
        <v>19</v>
      </c>
    </row>
    <row r="31" spans="1:14" ht="15">
      <c r="A31" s="2"/>
      <c r="C31" s="24" t="s">
        <v>627</v>
      </c>
      <c r="D31" s="24"/>
      <c r="F31" s="25">
        <v>51.2</v>
      </c>
      <c r="M31" s="26"/>
      <c r="N31" s="2"/>
    </row>
    <row r="32" spans="1:47" ht="15">
      <c r="A32" s="41"/>
      <c r="B32" s="42" t="s">
        <v>132</v>
      </c>
      <c r="C32" s="637" t="s">
        <v>133</v>
      </c>
      <c r="D32" s="638"/>
      <c r="E32" s="43" t="s">
        <v>4</v>
      </c>
      <c r="F32" s="43" t="s">
        <v>4</v>
      </c>
      <c r="G32" s="43" t="s">
        <v>4</v>
      </c>
      <c r="H32" s="44">
        <f>SUM(H33:H41)</f>
        <v>0</v>
      </c>
      <c r="I32" s="44">
        <f>SUM(I33:I41)</f>
        <v>0</v>
      </c>
      <c r="J32" s="44">
        <f>SUM(J33:J41)</f>
        <v>0</v>
      </c>
      <c r="K32" s="45"/>
      <c r="L32" s="44">
        <f>SUM(L33:L41)</f>
        <v>52.501490000000004</v>
      </c>
      <c r="M32" s="46"/>
      <c r="N32" s="2"/>
      <c r="AI32" s="10"/>
      <c r="AS32" s="19">
        <f>SUM(AJ33:AJ41)</f>
        <v>0</v>
      </c>
      <c r="AT32" s="19">
        <f>SUM(AK33:AK41)</f>
        <v>0</v>
      </c>
      <c r="AU32" s="19">
        <f>SUM(AL33:AL41)</f>
        <v>0</v>
      </c>
    </row>
    <row r="33" spans="1:64" ht="15">
      <c r="A33" s="20" t="s">
        <v>94</v>
      </c>
      <c r="B33" s="3" t="s">
        <v>150</v>
      </c>
      <c r="C33" s="618" t="s">
        <v>151</v>
      </c>
      <c r="D33" s="608"/>
      <c r="E33" s="3" t="s">
        <v>54</v>
      </c>
      <c r="F33" s="21">
        <v>43</v>
      </c>
      <c r="G33" s="537"/>
      <c r="H33" s="21">
        <f>F33*AO33</f>
        <v>0</v>
      </c>
      <c r="I33" s="21">
        <f>F33*AP33</f>
        <v>0</v>
      </c>
      <c r="J33" s="21">
        <f>F33*G33</f>
        <v>0</v>
      </c>
      <c r="K33" s="21">
        <v>0.345</v>
      </c>
      <c r="L33" s="21">
        <f>F33*K33</f>
        <v>14.834999999999999</v>
      </c>
      <c r="M33" s="22" t="s">
        <v>55</v>
      </c>
      <c r="N33" s="2"/>
      <c r="Z33" s="21">
        <f>IF(AQ33="5",BJ33,0)</f>
        <v>0</v>
      </c>
      <c r="AB33" s="21">
        <f>IF(AQ33="1",BH33,0)</f>
        <v>0</v>
      </c>
      <c r="AC33" s="21">
        <f>IF(AQ33="1",BI33,0)</f>
        <v>0</v>
      </c>
      <c r="AD33" s="21">
        <f>IF(AQ33="7",BH33,0)</f>
        <v>0</v>
      </c>
      <c r="AE33" s="21">
        <f>IF(AQ33="7",BI33,0)</f>
        <v>0</v>
      </c>
      <c r="AF33" s="21">
        <f>IF(AQ33="2",BH33,0)</f>
        <v>0</v>
      </c>
      <c r="AG33" s="21">
        <f>IF(AQ33="2",BI33,0)</f>
        <v>0</v>
      </c>
      <c r="AH33" s="21">
        <f>IF(AQ33="0",BJ33,0)</f>
        <v>0</v>
      </c>
      <c r="AI33" s="10"/>
      <c r="AJ33" s="21">
        <f>IF(AN33=0,J33,0)</f>
        <v>0</v>
      </c>
      <c r="AK33" s="21">
        <f>IF(AN33=15,J33,0)</f>
        <v>0</v>
      </c>
      <c r="AL33" s="21">
        <f>IF(AN33=21,J33,0)</f>
        <v>0</v>
      </c>
      <c r="AN33" s="21">
        <v>21</v>
      </c>
      <c r="AO33" s="21">
        <f>G33*0.835878787878788</f>
        <v>0</v>
      </c>
      <c r="AP33" s="21">
        <f>G33*(1-0.835878787878788)</f>
        <v>0</v>
      </c>
      <c r="AQ33" s="23" t="s">
        <v>51</v>
      </c>
      <c r="AV33" s="21">
        <f>AW33+AX33</f>
        <v>0</v>
      </c>
      <c r="AW33" s="21">
        <f>F33*AO33</f>
        <v>0</v>
      </c>
      <c r="AX33" s="21">
        <f>F33*AP33</f>
        <v>0</v>
      </c>
      <c r="AY33" s="23" t="s">
        <v>136</v>
      </c>
      <c r="AZ33" s="23" t="s">
        <v>137</v>
      </c>
      <c r="BA33" s="10" t="s">
        <v>58</v>
      </c>
      <c r="BC33" s="21">
        <f>AW33+AX33</f>
        <v>0</v>
      </c>
      <c r="BD33" s="21">
        <f>G33/(100-BE33)*100</f>
        <v>0</v>
      </c>
      <c r="BE33" s="21">
        <v>0</v>
      </c>
      <c r="BF33" s="21">
        <f>L33</f>
        <v>14.834999999999999</v>
      </c>
      <c r="BH33" s="21">
        <f>F33*AO33</f>
        <v>0</v>
      </c>
      <c r="BI33" s="21">
        <f>F33*AP33</f>
        <v>0</v>
      </c>
      <c r="BJ33" s="21">
        <f>F33*G33</f>
        <v>0</v>
      </c>
      <c r="BK33" s="21" t="s">
        <v>59</v>
      </c>
      <c r="BL33" s="21">
        <v>56</v>
      </c>
    </row>
    <row r="34" spans="1:14" ht="15">
      <c r="A34" s="2"/>
      <c r="B34" s="27" t="s">
        <v>138</v>
      </c>
      <c r="C34" s="639" t="s">
        <v>143</v>
      </c>
      <c r="D34" s="640"/>
      <c r="E34" s="640"/>
      <c r="F34" s="640"/>
      <c r="G34" s="640"/>
      <c r="H34" s="640"/>
      <c r="I34" s="640"/>
      <c r="J34" s="640"/>
      <c r="K34" s="640"/>
      <c r="L34" s="640"/>
      <c r="M34" s="641"/>
      <c r="N34" s="2"/>
    </row>
    <row r="35" spans="1:14" ht="15">
      <c r="A35" s="2"/>
      <c r="C35" s="24" t="s">
        <v>625</v>
      </c>
      <c r="D35" s="24"/>
      <c r="F35" s="25">
        <v>43</v>
      </c>
      <c r="M35" s="26"/>
      <c r="N35" s="2"/>
    </row>
    <row r="36" spans="1:64" ht="15">
      <c r="A36" s="20" t="s">
        <v>98</v>
      </c>
      <c r="B36" s="3" t="s">
        <v>169</v>
      </c>
      <c r="C36" s="618" t="s">
        <v>170</v>
      </c>
      <c r="D36" s="608"/>
      <c r="E36" s="3" t="s">
        <v>54</v>
      </c>
      <c r="F36" s="21">
        <v>68.5</v>
      </c>
      <c r="G36" s="537"/>
      <c r="H36" s="21">
        <f>F36*AO36</f>
        <v>0</v>
      </c>
      <c r="I36" s="21">
        <f>F36*AP36</f>
        <v>0</v>
      </c>
      <c r="J36" s="21">
        <f>F36*G36</f>
        <v>0</v>
      </c>
      <c r="K36" s="21">
        <v>0.38314</v>
      </c>
      <c r="L36" s="21">
        <f>F36*K36</f>
        <v>26.245089999999998</v>
      </c>
      <c r="M36" s="22" t="s">
        <v>55</v>
      </c>
      <c r="N36" s="2"/>
      <c r="Z36" s="21">
        <f>IF(AQ36="5",BJ36,0)</f>
        <v>0</v>
      </c>
      <c r="AB36" s="21">
        <f>IF(AQ36="1",BH36,0)</f>
        <v>0</v>
      </c>
      <c r="AC36" s="21">
        <f>IF(AQ36="1",BI36,0)</f>
        <v>0</v>
      </c>
      <c r="AD36" s="21">
        <f>IF(AQ36="7",BH36,0)</f>
        <v>0</v>
      </c>
      <c r="AE36" s="21">
        <f>IF(AQ36="7",BI36,0)</f>
        <v>0</v>
      </c>
      <c r="AF36" s="21">
        <f>IF(AQ36="2",BH36,0)</f>
        <v>0</v>
      </c>
      <c r="AG36" s="21">
        <f>IF(AQ36="2",BI36,0)</f>
        <v>0</v>
      </c>
      <c r="AH36" s="21">
        <f>IF(AQ36="0",BJ36,0)</f>
        <v>0</v>
      </c>
      <c r="AI36" s="10"/>
      <c r="AJ36" s="21">
        <f>IF(AN36=0,J36,0)</f>
        <v>0</v>
      </c>
      <c r="AK36" s="21">
        <f>IF(AN36=15,J36,0)</f>
        <v>0</v>
      </c>
      <c r="AL36" s="21">
        <f>IF(AN36=21,J36,0)</f>
        <v>0</v>
      </c>
      <c r="AN36" s="21">
        <v>21</v>
      </c>
      <c r="AO36" s="21">
        <f>G36*0.898696883852691</f>
        <v>0</v>
      </c>
      <c r="AP36" s="21">
        <f>G36*(1-0.898696883852691)</f>
        <v>0</v>
      </c>
      <c r="AQ36" s="23" t="s">
        <v>51</v>
      </c>
      <c r="AV36" s="21">
        <f>AW36+AX36</f>
        <v>0</v>
      </c>
      <c r="AW36" s="21">
        <f>F36*AO36</f>
        <v>0</v>
      </c>
      <c r="AX36" s="21">
        <f>F36*AP36</f>
        <v>0</v>
      </c>
      <c r="AY36" s="23" t="s">
        <v>136</v>
      </c>
      <c r="AZ36" s="23" t="s">
        <v>137</v>
      </c>
      <c r="BA36" s="10" t="s">
        <v>58</v>
      </c>
      <c r="BC36" s="21">
        <f>AW36+AX36</f>
        <v>0</v>
      </c>
      <c r="BD36" s="21">
        <f>G36/(100-BE36)*100</f>
        <v>0</v>
      </c>
      <c r="BE36" s="21">
        <v>0</v>
      </c>
      <c r="BF36" s="21">
        <f>L36</f>
        <v>26.245089999999998</v>
      </c>
      <c r="BH36" s="21">
        <f>F36*AO36</f>
        <v>0</v>
      </c>
      <c r="BI36" s="21">
        <f>F36*AP36</f>
        <v>0</v>
      </c>
      <c r="BJ36" s="21">
        <f>F36*G36</f>
        <v>0</v>
      </c>
      <c r="BK36" s="21" t="s">
        <v>59</v>
      </c>
      <c r="BL36" s="21">
        <v>56</v>
      </c>
    </row>
    <row r="37" spans="1:14" ht="15">
      <c r="A37" s="2"/>
      <c r="C37" s="24" t="s">
        <v>570</v>
      </c>
      <c r="D37" s="24"/>
      <c r="F37" s="25">
        <v>68.5</v>
      </c>
      <c r="M37" s="26"/>
      <c r="N37" s="2"/>
    </row>
    <row r="38" spans="1:64" ht="15">
      <c r="A38" s="20" t="s">
        <v>104</v>
      </c>
      <c r="B38" s="3" t="s">
        <v>413</v>
      </c>
      <c r="C38" s="618" t="s">
        <v>414</v>
      </c>
      <c r="D38" s="608"/>
      <c r="E38" s="3" t="s">
        <v>54</v>
      </c>
      <c r="F38" s="21">
        <v>33</v>
      </c>
      <c r="G38" s="537"/>
      <c r="H38" s="21">
        <f>F38*AO38</f>
        <v>0</v>
      </c>
      <c r="I38" s="21">
        <f>F38*AP38</f>
        <v>0</v>
      </c>
      <c r="J38" s="21">
        <f>F38*G38</f>
        <v>0</v>
      </c>
      <c r="K38" s="21">
        <v>0.23</v>
      </c>
      <c r="L38" s="21">
        <f>F38*K38</f>
        <v>7.590000000000001</v>
      </c>
      <c r="M38" s="22" t="s">
        <v>55</v>
      </c>
      <c r="N38" s="2"/>
      <c r="Z38" s="21">
        <f>IF(AQ38="5",BJ38,0)</f>
        <v>0</v>
      </c>
      <c r="AB38" s="21">
        <f>IF(AQ38="1",BH38,0)</f>
        <v>0</v>
      </c>
      <c r="AC38" s="21">
        <f>IF(AQ38="1",BI38,0)</f>
        <v>0</v>
      </c>
      <c r="AD38" s="21">
        <f>IF(AQ38="7",BH38,0)</f>
        <v>0</v>
      </c>
      <c r="AE38" s="21">
        <f>IF(AQ38="7",BI38,0)</f>
        <v>0</v>
      </c>
      <c r="AF38" s="21">
        <f>IF(AQ38="2",BH38,0)</f>
        <v>0</v>
      </c>
      <c r="AG38" s="21">
        <f>IF(AQ38="2",BI38,0)</f>
        <v>0</v>
      </c>
      <c r="AH38" s="21">
        <f>IF(AQ38="0",BJ38,0)</f>
        <v>0</v>
      </c>
      <c r="AI38" s="10"/>
      <c r="AJ38" s="21">
        <f>IF(AN38=0,J38,0)</f>
        <v>0</v>
      </c>
      <c r="AK38" s="21">
        <f>IF(AN38=15,J38,0)</f>
        <v>0</v>
      </c>
      <c r="AL38" s="21">
        <f>IF(AN38=21,J38,0)</f>
        <v>0</v>
      </c>
      <c r="AN38" s="21">
        <v>21</v>
      </c>
      <c r="AO38" s="21">
        <f>G38*0.8</f>
        <v>0</v>
      </c>
      <c r="AP38" s="21">
        <f>G38*(1-0.8)</f>
        <v>0</v>
      </c>
      <c r="AQ38" s="23" t="s">
        <v>51</v>
      </c>
      <c r="AV38" s="21">
        <f>AW38+AX38</f>
        <v>0</v>
      </c>
      <c r="AW38" s="21">
        <f>F38*AO38</f>
        <v>0</v>
      </c>
      <c r="AX38" s="21">
        <f>F38*AP38</f>
        <v>0</v>
      </c>
      <c r="AY38" s="23" t="s">
        <v>136</v>
      </c>
      <c r="AZ38" s="23" t="s">
        <v>137</v>
      </c>
      <c r="BA38" s="10" t="s">
        <v>58</v>
      </c>
      <c r="BC38" s="21">
        <f>AW38+AX38</f>
        <v>0</v>
      </c>
      <c r="BD38" s="21">
        <f>G38/(100-BE38)*100</f>
        <v>0</v>
      </c>
      <c r="BE38" s="21">
        <v>0</v>
      </c>
      <c r="BF38" s="21">
        <f>L38</f>
        <v>7.590000000000001</v>
      </c>
      <c r="BH38" s="21">
        <f>F38*AO38</f>
        <v>0</v>
      </c>
      <c r="BI38" s="21">
        <f>F38*AP38</f>
        <v>0</v>
      </c>
      <c r="BJ38" s="21">
        <f>F38*G38</f>
        <v>0</v>
      </c>
      <c r="BK38" s="21" t="s">
        <v>59</v>
      </c>
      <c r="BL38" s="21">
        <v>56</v>
      </c>
    </row>
    <row r="39" spans="1:14" ht="15">
      <c r="A39" s="2"/>
      <c r="B39" s="27" t="s">
        <v>138</v>
      </c>
      <c r="C39" s="639" t="s">
        <v>143</v>
      </c>
      <c r="D39" s="640"/>
      <c r="E39" s="640"/>
      <c r="F39" s="640"/>
      <c r="G39" s="640"/>
      <c r="H39" s="640"/>
      <c r="I39" s="640"/>
      <c r="J39" s="640"/>
      <c r="K39" s="640"/>
      <c r="L39" s="640"/>
      <c r="M39" s="641"/>
      <c r="N39" s="2"/>
    </row>
    <row r="40" spans="1:14" ht="15">
      <c r="A40" s="2"/>
      <c r="C40" s="24" t="s">
        <v>226</v>
      </c>
      <c r="D40" s="24"/>
      <c r="F40" s="25">
        <v>33</v>
      </c>
      <c r="M40" s="26"/>
      <c r="N40" s="2"/>
    </row>
    <row r="41" spans="1:64" ht="15">
      <c r="A41" s="20" t="s">
        <v>49</v>
      </c>
      <c r="B41" s="3" t="s">
        <v>169</v>
      </c>
      <c r="C41" s="618" t="s">
        <v>170</v>
      </c>
      <c r="D41" s="608"/>
      <c r="E41" s="3" t="s">
        <v>54</v>
      </c>
      <c r="F41" s="21">
        <v>10</v>
      </c>
      <c r="G41" s="537"/>
      <c r="H41" s="21">
        <f>F41*AO41</f>
        <v>0</v>
      </c>
      <c r="I41" s="21">
        <f>F41*AP41</f>
        <v>0</v>
      </c>
      <c r="J41" s="21">
        <f>F41*G41</f>
        <v>0</v>
      </c>
      <c r="K41" s="21">
        <v>0.38314</v>
      </c>
      <c r="L41" s="21">
        <f>F41*K41</f>
        <v>3.8314</v>
      </c>
      <c r="M41" s="22" t="s">
        <v>55</v>
      </c>
      <c r="N41" s="2"/>
      <c r="Z41" s="21">
        <f>IF(AQ41="5",BJ41,0)</f>
        <v>0</v>
      </c>
      <c r="AB41" s="21">
        <f>IF(AQ41="1",BH41,0)</f>
        <v>0</v>
      </c>
      <c r="AC41" s="21">
        <f>IF(AQ41="1",BI41,0)</f>
        <v>0</v>
      </c>
      <c r="AD41" s="21">
        <f>IF(AQ41="7",BH41,0)</f>
        <v>0</v>
      </c>
      <c r="AE41" s="21">
        <f>IF(AQ41="7",BI41,0)</f>
        <v>0</v>
      </c>
      <c r="AF41" s="21">
        <f>IF(AQ41="2",BH41,0)</f>
        <v>0</v>
      </c>
      <c r="AG41" s="21">
        <f>IF(AQ41="2",BI41,0)</f>
        <v>0</v>
      </c>
      <c r="AH41" s="21">
        <f>IF(AQ41="0",BJ41,0)</f>
        <v>0</v>
      </c>
      <c r="AI41" s="10"/>
      <c r="AJ41" s="21">
        <f>IF(AN41=0,J41,0)</f>
        <v>0</v>
      </c>
      <c r="AK41" s="21">
        <f>IF(AN41=15,J41,0)</f>
        <v>0</v>
      </c>
      <c r="AL41" s="21">
        <f>IF(AN41=21,J41,0)</f>
        <v>0</v>
      </c>
      <c r="AN41" s="21">
        <v>21</v>
      </c>
      <c r="AO41" s="21">
        <f>G41*0.898696883852691</f>
        <v>0</v>
      </c>
      <c r="AP41" s="21">
        <f>G41*(1-0.898696883852691)</f>
        <v>0</v>
      </c>
      <c r="AQ41" s="23" t="s">
        <v>51</v>
      </c>
      <c r="AV41" s="21">
        <f>AW41+AX41</f>
        <v>0</v>
      </c>
      <c r="AW41" s="21">
        <f>F41*AO41</f>
        <v>0</v>
      </c>
      <c r="AX41" s="21">
        <f>F41*AP41</f>
        <v>0</v>
      </c>
      <c r="AY41" s="23" t="s">
        <v>136</v>
      </c>
      <c r="AZ41" s="23" t="s">
        <v>137</v>
      </c>
      <c r="BA41" s="10" t="s">
        <v>58</v>
      </c>
      <c r="BC41" s="21">
        <f>AW41+AX41</f>
        <v>0</v>
      </c>
      <c r="BD41" s="21">
        <f>G41/(100-BE41)*100</f>
        <v>0</v>
      </c>
      <c r="BE41" s="21">
        <v>0</v>
      </c>
      <c r="BF41" s="21">
        <f>L41</f>
        <v>3.8314</v>
      </c>
      <c r="BH41" s="21">
        <f>F41*AO41</f>
        <v>0</v>
      </c>
      <c r="BI41" s="21">
        <f>F41*AP41</f>
        <v>0</v>
      </c>
      <c r="BJ41" s="21">
        <f>F41*G41</f>
        <v>0</v>
      </c>
      <c r="BK41" s="21" t="s">
        <v>59</v>
      </c>
      <c r="BL41" s="21">
        <v>56</v>
      </c>
    </row>
    <row r="42" spans="1:14" ht="15">
      <c r="A42" s="2"/>
      <c r="C42" s="24" t="s">
        <v>104</v>
      </c>
      <c r="D42" s="24"/>
      <c r="F42" s="25">
        <v>10</v>
      </c>
      <c r="M42" s="26"/>
      <c r="N42" s="2"/>
    </row>
    <row r="43" spans="1:47" ht="15">
      <c r="A43" s="41"/>
      <c r="B43" s="42" t="s">
        <v>185</v>
      </c>
      <c r="C43" s="637" t="s">
        <v>186</v>
      </c>
      <c r="D43" s="638"/>
      <c r="E43" s="43" t="s">
        <v>4</v>
      </c>
      <c r="F43" s="43" t="s">
        <v>4</v>
      </c>
      <c r="G43" s="43" t="s">
        <v>4</v>
      </c>
      <c r="H43" s="44">
        <f>SUM(H44:H51)</f>
        <v>0</v>
      </c>
      <c r="I43" s="44">
        <f>SUM(I44:I51)</f>
        <v>0</v>
      </c>
      <c r="J43" s="44">
        <f>SUM(J44:J51)</f>
        <v>0</v>
      </c>
      <c r="K43" s="45"/>
      <c r="L43" s="44">
        <f>SUM(L44:L51)</f>
        <v>11.131299999999998</v>
      </c>
      <c r="M43" s="46"/>
      <c r="N43" s="2"/>
      <c r="AI43" s="10"/>
      <c r="AS43" s="19">
        <f>SUM(AJ44:AJ51)</f>
        <v>0</v>
      </c>
      <c r="AT43" s="19">
        <f>SUM(AK44:AK51)</f>
        <v>0</v>
      </c>
      <c r="AU43" s="19">
        <f>SUM(AL44:AL51)</f>
        <v>0</v>
      </c>
    </row>
    <row r="44" spans="1:64" ht="15">
      <c r="A44" s="20" t="s">
        <v>76</v>
      </c>
      <c r="B44" s="3" t="s">
        <v>188</v>
      </c>
      <c r="C44" s="618" t="s">
        <v>189</v>
      </c>
      <c r="D44" s="608"/>
      <c r="E44" s="3" t="s">
        <v>54</v>
      </c>
      <c r="F44" s="21">
        <v>43</v>
      </c>
      <c r="G44" s="537"/>
      <c r="H44" s="21">
        <f>F44*AO44</f>
        <v>0</v>
      </c>
      <c r="I44" s="21">
        <f>F44*AP44</f>
        <v>0</v>
      </c>
      <c r="J44" s="21">
        <f>F44*G44</f>
        <v>0</v>
      </c>
      <c r="K44" s="21">
        <v>0.0739</v>
      </c>
      <c r="L44" s="21">
        <f>F44*K44</f>
        <v>3.1776999999999997</v>
      </c>
      <c r="M44" s="22" t="s">
        <v>55</v>
      </c>
      <c r="N44" s="2"/>
      <c r="Z44" s="21">
        <f>IF(AQ44="5",BJ44,0)</f>
        <v>0</v>
      </c>
      <c r="AB44" s="21">
        <f>IF(AQ44="1",BH44,0)</f>
        <v>0</v>
      </c>
      <c r="AC44" s="21">
        <f>IF(AQ44="1",BI44,0)</f>
        <v>0</v>
      </c>
      <c r="AD44" s="21">
        <f>IF(AQ44="7",BH44,0)</f>
        <v>0</v>
      </c>
      <c r="AE44" s="21">
        <f>IF(AQ44="7",BI44,0)</f>
        <v>0</v>
      </c>
      <c r="AF44" s="21">
        <f>IF(AQ44="2",BH44,0)</f>
        <v>0</v>
      </c>
      <c r="AG44" s="21">
        <f>IF(AQ44="2",BI44,0)</f>
        <v>0</v>
      </c>
      <c r="AH44" s="21">
        <f>IF(AQ44="0",BJ44,0)</f>
        <v>0</v>
      </c>
      <c r="AI44" s="10"/>
      <c r="AJ44" s="21">
        <f>IF(AN44=0,J44,0)</f>
        <v>0</v>
      </c>
      <c r="AK44" s="21">
        <f>IF(AN44=15,J44,0)</f>
        <v>0</v>
      </c>
      <c r="AL44" s="21">
        <f>IF(AN44=21,J44,0)</f>
        <v>0</v>
      </c>
      <c r="AN44" s="21">
        <v>21</v>
      </c>
      <c r="AO44" s="21">
        <f>G44*0.144991452991453</f>
        <v>0</v>
      </c>
      <c r="AP44" s="21">
        <f>G44*(1-0.144991452991453)</f>
        <v>0</v>
      </c>
      <c r="AQ44" s="23" t="s">
        <v>51</v>
      </c>
      <c r="AV44" s="21">
        <f>AW44+AX44</f>
        <v>0</v>
      </c>
      <c r="AW44" s="21">
        <f>F44*AO44</f>
        <v>0</v>
      </c>
      <c r="AX44" s="21">
        <f>F44*AP44</f>
        <v>0</v>
      </c>
      <c r="AY44" s="23" t="s">
        <v>190</v>
      </c>
      <c r="AZ44" s="23" t="s">
        <v>137</v>
      </c>
      <c r="BA44" s="10" t="s">
        <v>58</v>
      </c>
      <c r="BC44" s="21">
        <f>AW44+AX44</f>
        <v>0</v>
      </c>
      <c r="BD44" s="21">
        <f>G44/(100-BE44)*100</f>
        <v>0</v>
      </c>
      <c r="BE44" s="21">
        <v>0</v>
      </c>
      <c r="BF44" s="21">
        <f>L44</f>
        <v>3.1776999999999997</v>
      </c>
      <c r="BH44" s="21">
        <f>F44*AO44</f>
        <v>0</v>
      </c>
      <c r="BI44" s="21">
        <f>F44*AP44</f>
        <v>0</v>
      </c>
      <c r="BJ44" s="21">
        <f>F44*G44</f>
        <v>0</v>
      </c>
      <c r="BK44" s="21" t="s">
        <v>59</v>
      </c>
      <c r="BL44" s="21">
        <v>59</v>
      </c>
    </row>
    <row r="45" spans="1:14" ht="15">
      <c r="A45" s="2"/>
      <c r="C45" s="24" t="s">
        <v>625</v>
      </c>
      <c r="D45" s="24"/>
      <c r="F45" s="25">
        <v>43</v>
      </c>
      <c r="M45" s="26"/>
      <c r="N45" s="2"/>
    </row>
    <row r="46" spans="1:14" ht="25.65" customHeight="1">
      <c r="A46" s="2"/>
      <c r="B46" s="27" t="s">
        <v>61</v>
      </c>
      <c r="C46" s="634" t="s">
        <v>197</v>
      </c>
      <c r="D46" s="635"/>
      <c r="E46" s="635"/>
      <c r="F46" s="635"/>
      <c r="G46" s="635"/>
      <c r="H46" s="635"/>
      <c r="I46" s="635"/>
      <c r="J46" s="635"/>
      <c r="K46" s="635"/>
      <c r="L46" s="635"/>
      <c r="M46" s="636"/>
      <c r="N46" s="2"/>
    </row>
    <row r="47" spans="1:64" ht="15">
      <c r="A47" s="20" t="s">
        <v>75</v>
      </c>
      <c r="B47" s="3" t="s">
        <v>491</v>
      </c>
      <c r="C47" s="618" t="s">
        <v>492</v>
      </c>
      <c r="D47" s="608"/>
      <c r="E47" s="3" t="s">
        <v>54</v>
      </c>
      <c r="F47" s="21">
        <v>45.15</v>
      </c>
      <c r="G47" s="537"/>
      <c r="H47" s="21">
        <f>F47*AO47</f>
        <v>0</v>
      </c>
      <c r="I47" s="21">
        <f>F47*AP47</f>
        <v>0</v>
      </c>
      <c r="J47" s="21">
        <f>F47*G47</f>
        <v>0</v>
      </c>
      <c r="K47" s="21">
        <v>0.176</v>
      </c>
      <c r="L47" s="21">
        <f>F47*K47</f>
        <v>7.9464</v>
      </c>
      <c r="M47" s="22" t="s">
        <v>55</v>
      </c>
      <c r="N47" s="2"/>
      <c r="Z47" s="21">
        <f>IF(AQ47="5",BJ47,0)</f>
        <v>0</v>
      </c>
      <c r="AB47" s="21">
        <f>IF(AQ47="1",BH47,0)</f>
        <v>0</v>
      </c>
      <c r="AC47" s="21">
        <f>IF(AQ47="1",BI47,0)</f>
        <v>0</v>
      </c>
      <c r="AD47" s="21">
        <f>IF(AQ47="7",BH47,0)</f>
        <v>0</v>
      </c>
      <c r="AE47" s="21">
        <f>IF(AQ47="7",BI47,0)</f>
        <v>0</v>
      </c>
      <c r="AF47" s="21">
        <f>IF(AQ47="2",BH47,0)</f>
        <v>0</v>
      </c>
      <c r="AG47" s="21">
        <f>IF(AQ47="2",BI47,0)</f>
        <v>0</v>
      </c>
      <c r="AH47" s="21">
        <f>IF(AQ47="0",BJ47,0)</f>
        <v>0</v>
      </c>
      <c r="AI47" s="10"/>
      <c r="AJ47" s="21">
        <f>IF(AN47=0,J47,0)</f>
        <v>0</v>
      </c>
      <c r="AK47" s="21">
        <f>IF(AN47=15,J47,0)</f>
        <v>0</v>
      </c>
      <c r="AL47" s="21">
        <f>IF(AN47=21,J47,0)</f>
        <v>0</v>
      </c>
      <c r="AN47" s="21">
        <v>21</v>
      </c>
      <c r="AO47" s="21">
        <f>G47*1</f>
        <v>0</v>
      </c>
      <c r="AP47" s="21">
        <f>G47*(1-1)</f>
        <v>0</v>
      </c>
      <c r="AQ47" s="23" t="s">
        <v>51</v>
      </c>
      <c r="AV47" s="21">
        <f>AW47+AX47</f>
        <v>0</v>
      </c>
      <c r="AW47" s="21">
        <f>F47*AO47</f>
        <v>0</v>
      </c>
      <c r="AX47" s="21">
        <f>F47*AP47</f>
        <v>0</v>
      </c>
      <c r="AY47" s="23" t="s">
        <v>190</v>
      </c>
      <c r="AZ47" s="23" t="s">
        <v>137</v>
      </c>
      <c r="BA47" s="10" t="s">
        <v>58</v>
      </c>
      <c r="BC47" s="21">
        <f>AW47+AX47</f>
        <v>0</v>
      </c>
      <c r="BD47" s="21">
        <f>G47/(100-BE47)*100</f>
        <v>0</v>
      </c>
      <c r="BE47" s="21">
        <v>0</v>
      </c>
      <c r="BF47" s="21">
        <f>L47</f>
        <v>7.9464</v>
      </c>
      <c r="BH47" s="21">
        <f>F47*AO47</f>
        <v>0</v>
      </c>
      <c r="BI47" s="21">
        <f>F47*AP47</f>
        <v>0</v>
      </c>
      <c r="BJ47" s="21">
        <f>F47*G47</f>
        <v>0</v>
      </c>
      <c r="BK47" s="21" t="s">
        <v>201</v>
      </c>
      <c r="BL47" s="21">
        <v>59</v>
      </c>
    </row>
    <row r="48" spans="1:14" ht="15">
      <c r="A48" s="2"/>
      <c r="C48" s="24" t="s">
        <v>625</v>
      </c>
      <c r="D48" s="24"/>
      <c r="F48" s="25">
        <v>43</v>
      </c>
      <c r="M48" s="26"/>
      <c r="N48" s="2"/>
    </row>
    <row r="49" spans="1:14" ht="15">
      <c r="A49" s="2"/>
      <c r="C49" s="24" t="s">
        <v>628</v>
      </c>
      <c r="D49" s="24"/>
      <c r="F49" s="25">
        <v>2.15</v>
      </c>
      <c r="M49" s="26"/>
      <c r="N49" s="2"/>
    </row>
    <row r="50" spans="1:14" ht="15">
      <c r="A50" s="2"/>
      <c r="B50" s="27" t="s">
        <v>61</v>
      </c>
      <c r="C50" s="634"/>
      <c r="D50" s="635"/>
      <c r="E50" s="635"/>
      <c r="F50" s="635"/>
      <c r="G50" s="635"/>
      <c r="H50" s="635"/>
      <c r="I50" s="635"/>
      <c r="J50" s="635"/>
      <c r="K50" s="635"/>
      <c r="L50" s="635"/>
      <c r="M50" s="636"/>
      <c r="N50" s="2"/>
    </row>
    <row r="51" spans="1:64" ht="15">
      <c r="A51" s="20" t="s">
        <v>128</v>
      </c>
      <c r="B51" s="3" t="s">
        <v>230</v>
      </c>
      <c r="C51" s="618" t="s">
        <v>231</v>
      </c>
      <c r="D51" s="608"/>
      <c r="E51" s="3" t="s">
        <v>74</v>
      </c>
      <c r="F51" s="21">
        <v>20</v>
      </c>
      <c r="G51" s="537"/>
      <c r="H51" s="21">
        <f>F51*AO51</f>
        <v>0</v>
      </c>
      <c r="I51" s="21">
        <f>F51*AP51</f>
        <v>0</v>
      </c>
      <c r="J51" s="21">
        <f>F51*G51</f>
        <v>0</v>
      </c>
      <c r="K51" s="21">
        <v>0.00036</v>
      </c>
      <c r="L51" s="21">
        <f>F51*K51</f>
        <v>0.007200000000000001</v>
      </c>
      <c r="M51" s="22" t="s">
        <v>55</v>
      </c>
      <c r="N51" s="2"/>
      <c r="Z51" s="21">
        <f>IF(AQ51="5",BJ51,0)</f>
        <v>0</v>
      </c>
      <c r="AB51" s="21">
        <f>IF(AQ51="1",BH51,0)</f>
        <v>0</v>
      </c>
      <c r="AC51" s="21">
        <f>IF(AQ51="1",BI51,0)</f>
        <v>0</v>
      </c>
      <c r="AD51" s="21">
        <f>IF(AQ51="7",BH51,0)</f>
        <v>0</v>
      </c>
      <c r="AE51" s="21">
        <f>IF(AQ51="7",BI51,0)</f>
        <v>0</v>
      </c>
      <c r="AF51" s="21">
        <f>IF(AQ51="2",BH51,0)</f>
        <v>0</v>
      </c>
      <c r="AG51" s="21">
        <f>IF(AQ51="2",BI51,0)</f>
        <v>0</v>
      </c>
      <c r="AH51" s="21">
        <f>IF(AQ51="0",BJ51,0)</f>
        <v>0</v>
      </c>
      <c r="AI51" s="10"/>
      <c r="AJ51" s="21">
        <f>IF(AN51=0,J51,0)</f>
        <v>0</v>
      </c>
      <c r="AK51" s="21">
        <f>IF(AN51=15,J51,0)</f>
        <v>0</v>
      </c>
      <c r="AL51" s="21">
        <f>IF(AN51=21,J51,0)</f>
        <v>0</v>
      </c>
      <c r="AN51" s="21">
        <v>21</v>
      </c>
      <c r="AO51" s="21">
        <f>G51*0.0615708812260536</f>
        <v>0</v>
      </c>
      <c r="AP51" s="21">
        <f>G51*(1-0.0615708812260536)</f>
        <v>0</v>
      </c>
      <c r="AQ51" s="23" t="s">
        <v>51</v>
      </c>
      <c r="AV51" s="21">
        <f>AW51+AX51</f>
        <v>0</v>
      </c>
      <c r="AW51" s="21">
        <f>F51*AO51</f>
        <v>0</v>
      </c>
      <c r="AX51" s="21">
        <f>F51*AP51</f>
        <v>0</v>
      </c>
      <c r="AY51" s="23" t="s">
        <v>190</v>
      </c>
      <c r="AZ51" s="23" t="s">
        <v>137</v>
      </c>
      <c r="BA51" s="10" t="s">
        <v>58</v>
      </c>
      <c r="BC51" s="21">
        <f>AW51+AX51</f>
        <v>0</v>
      </c>
      <c r="BD51" s="21">
        <f>G51/(100-BE51)*100</f>
        <v>0</v>
      </c>
      <c r="BE51" s="21">
        <v>0</v>
      </c>
      <c r="BF51" s="21">
        <f>L51</f>
        <v>0.007200000000000001</v>
      </c>
      <c r="BH51" s="21">
        <f>F51*AO51</f>
        <v>0</v>
      </c>
      <c r="BI51" s="21">
        <f>F51*AP51</f>
        <v>0</v>
      </c>
      <c r="BJ51" s="21">
        <f>F51*G51</f>
        <v>0</v>
      </c>
      <c r="BK51" s="21" t="s">
        <v>59</v>
      </c>
      <c r="BL51" s="21">
        <v>59</v>
      </c>
    </row>
    <row r="52" spans="1:14" ht="15">
      <c r="A52" s="2"/>
      <c r="C52" s="24" t="s">
        <v>157</v>
      </c>
      <c r="D52" s="24"/>
      <c r="F52" s="25">
        <v>20</v>
      </c>
      <c r="M52" s="26"/>
      <c r="N52" s="2"/>
    </row>
    <row r="53" spans="1:47" ht="15">
      <c r="A53" s="41"/>
      <c r="B53" s="42" t="s">
        <v>294</v>
      </c>
      <c r="C53" s="637" t="s">
        <v>295</v>
      </c>
      <c r="D53" s="638"/>
      <c r="E53" s="43" t="s">
        <v>4</v>
      </c>
      <c r="F53" s="43" t="s">
        <v>4</v>
      </c>
      <c r="G53" s="43" t="s">
        <v>4</v>
      </c>
      <c r="H53" s="44">
        <f>SUM(H54:H57)</f>
        <v>0</v>
      </c>
      <c r="I53" s="44">
        <f>SUM(I54:I57)</f>
        <v>0</v>
      </c>
      <c r="J53" s="44">
        <f>SUM(J54:J57)</f>
        <v>0</v>
      </c>
      <c r="K53" s="45"/>
      <c r="L53" s="44">
        <f>SUM(L54:L57)</f>
        <v>8.90948</v>
      </c>
      <c r="M53" s="46"/>
      <c r="N53" s="2"/>
      <c r="AI53" s="10"/>
      <c r="AS53" s="19">
        <f>SUM(AJ54:AJ57)</f>
        <v>0</v>
      </c>
      <c r="AT53" s="19">
        <f>SUM(AK54:AK57)</f>
        <v>0</v>
      </c>
      <c r="AU53" s="19">
        <f>SUM(AL54:AL57)</f>
        <v>0</v>
      </c>
    </row>
    <row r="54" spans="1:64" ht="15">
      <c r="A54" s="20" t="s">
        <v>66</v>
      </c>
      <c r="B54" s="3" t="s">
        <v>297</v>
      </c>
      <c r="C54" s="618" t="s">
        <v>298</v>
      </c>
      <c r="D54" s="608"/>
      <c r="E54" s="3" t="s">
        <v>74</v>
      </c>
      <c r="F54" s="21">
        <v>38</v>
      </c>
      <c r="G54" s="537"/>
      <c r="H54" s="21">
        <f>F54*AO54</f>
        <v>0</v>
      </c>
      <c r="I54" s="21">
        <f>F54*AP54</f>
        <v>0</v>
      </c>
      <c r="J54" s="21">
        <f>F54*G54</f>
        <v>0</v>
      </c>
      <c r="K54" s="21">
        <v>0.188</v>
      </c>
      <c r="L54" s="21">
        <f>F54*K54</f>
        <v>7.144</v>
      </c>
      <c r="M54" s="22" t="s">
        <v>55</v>
      </c>
      <c r="N54" s="2"/>
      <c r="Z54" s="21">
        <f>IF(AQ54="5",BJ54,0)</f>
        <v>0</v>
      </c>
      <c r="AB54" s="21">
        <f>IF(AQ54="1",BH54,0)</f>
        <v>0</v>
      </c>
      <c r="AC54" s="21">
        <f>IF(AQ54="1",BI54,0)</f>
        <v>0</v>
      </c>
      <c r="AD54" s="21">
        <f>IF(AQ54="7",BH54,0)</f>
        <v>0</v>
      </c>
      <c r="AE54" s="21">
        <f>IF(AQ54="7",BI54,0)</f>
        <v>0</v>
      </c>
      <c r="AF54" s="21">
        <f>IF(AQ54="2",BH54,0)</f>
        <v>0</v>
      </c>
      <c r="AG54" s="21">
        <f>IF(AQ54="2",BI54,0)</f>
        <v>0</v>
      </c>
      <c r="AH54" s="21">
        <f>IF(AQ54="0",BJ54,0)</f>
        <v>0</v>
      </c>
      <c r="AI54" s="10"/>
      <c r="AJ54" s="21">
        <f>IF(AN54=0,J54,0)</f>
        <v>0</v>
      </c>
      <c r="AK54" s="21">
        <f>IF(AN54=15,J54,0)</f>
        <v>0</v>
      </c>
      <c r="AL54" s="21">
        <f>IF(AN54=21,J54,0)</f>
        <v>0</v>
      </c>
      <c r="AN54" s="21">
        <v>21</v>
      </c>
      <c r="AO54" s="21">
        <f>G54*0.559380097879282</f>
        <v>0</v>
      </c>
      <c r="AP54" s="21">
        <f>G54*(1-0.559380097879282)</f>
        <v>0</v>
      </c>
      <c r="AQ54" s="23" t="s">
        <v>51</v>
      </c>
      <c r="AV54" s="21">
        <f>AW54+AX54</f>
        <v>0</v>
      </c>
      <c r="AW54" s="21">
        <f>F54*AO54</f>
        <v>0</v>
      </c>
      <c r="AX54" s="21">
        <f>F54*AP54</f>
        <v>0</v>
      </c>
      <c r="AY54" s="23" t="s">
        <v>299</v>
      </c>
      <c r="AZ54" s="23" t="s">
        <v>300</v>
      </c>
      <c r="BA54" s="10" t="s">
        <v>58</v>
      </c>
      <c r="BC54" s="21">
        <f>AW54+AX54</f>
        <v>0</v>
      </c>
      <c r="BD54" s="21">
        <f>G54/(100-BE54)*100</f>
        <v>0</v>
      </c>
      <c r="BE54" s="21">
        <v>0</v>
      </c>
      <c r="BF54" s="21">
        <f>L54</f>
        <v>7.144</v>
      </c>
      <c r="BH54" s="21">
        <f>F54*AO54</f>
        <v>0</v>
      </c>
      <c r="BI54" s="21">
        <f>F54*AP54</f>
        <v>0</v>
      </c>
      <c r="BJ54" s="21">
        <f>F54*G54</f>
        <v>0</v>
      </c>
      <c r="BK54" s="21" t="s">
        <v>59</v>
      </c>
      <c r="BL54" s="21">
        <v>91</v>
      </c>
    </row>
    <row r="55" spans="1:14" ht="15">
      <c r="A55" s="2"/>
      <c r="C55" s="24" t="s">
        <v>144</v>
      </c>
      <c r="D55" s="24"/>
      <c r="F55" s="25">
        <v>38</v>
      </c>
      <c r="M55" s="26"/>
      <c r="N55" s="2"/>
    </row>
    <row r="56" spans="1:14" ht="15">
      <c r="A56" s="2"/>
      <c r="B56" s="27" t="s">
        <v>61</v>
      </c>
      <c r="C56" s="634" t="s">
        <v>304</v>
      </c>
      <c r="D56" s="635"/>
      <c r="E56" s="635"/>
      <c r="F56" s="635"/>
      <c r="G56" s="635"/>
      <c r="H56" s="635"/>
      <c r="I56" s="635"/>
      <c r="J56" s="635"/>
      <c r="K56" s="635"/>
      <c r="L56" s="635"/>
      <c r="M56" s="636"/>
      <c r="N56" s="2"/>
    </row>
    <row r="57" spans="1:64" ht="15">
      <c r="A57" s="20" t="s">
        <v>92</v>
      </c>
      <c r="B57" s="3" t="s">
        <v>310</v>
      </c>
      <c r="C57" s="618" t="s">
        <v>311</v>
      </c>
      <c r="D57" s="608"/>
      <c r="E57" s="3" t="s">
        <v>260</v>
      </c>
      <c r="F57" s="21">
        <v>38.38</v>
      </c>
      <c r="G57" s="537"/>
      <c r="H57" s="21">
        <f>F57*AO57</f>
        <v>0</v>
      </c>
      <c r="I57" s="21">
        <f>F57*AP57</f>
        <v>0</v>
      </c>
      <c r="J57" s="21">
        <f>F57*G57</f>
        <v>0</v>
      </c>
      <c r="K57" s="21">
        <v>0.046</v>
      </c>
      <c r="L57" s="21">
        <f>F57*K57</f>
        <v>1.7654800000000002</v>
      </c>
      <c r="M57" s="22" t="s">
        <v>55</v>
      </c>
      <c r="N57" s="2"/>
      <c r="Z57" s="21">
        <f>IF(AQ57="5",BJ57,0)</f>
        <v>0</v>
      </c>
      <c r="AB57" s="21">
        <f>IF(AQ57="1",BH57,0)</f>
        <v>0</v>
      </c>
      <c r="AC57" s="21">
        <f>IF(AQ57="1",BI57,0)</f>
        <v>0</v>
      </c>
      <c r="AD57" s="21">
        <f>IF(AQ57="7",BH57,0)</f>
        <v>0</v>
      </c>
      <c r="AE57" s="21">
        <f>IF(AQ57="7",BI57,0)</f>
        <v>0</v>
      </c>
      <c r="AF57" s="21">
        <f>IF(AQ57="2",BH57,0)</f>
        <v>0</v>
      </c>
      <c r="AG57" s="21">
        <f>IF(AQ57="2",BI57,0)</f>
        <v>0</v>
      </c>
      <c r="AH57" s="21">
        <f>IF(AQ57="0",BJ57,0)</f>
        <v>0</v>
      </c>
      <c r="AI57" s="10"/>
      <c r="AJ57" s="21">
        <f>IF(AN57=0,J57,0)</f>
        <v>0</v>
      </c>
      <c r="AK57" s="21">
        <f>IF(AN57=15,J57,0)</f>
        <v>0</v>
      </c>
      <c r="AL57" s="21">
        <f>IF(AN57=21,J57,0)</f>
        <v>0</v>
      </c>
      <c r="AN57" s="21">
        <v>21</v>
      </c>
      <c r="AO57" s="21">
        <f>G57*1</f>
        <v>0</v>
      </c>
      <c r="AP57" s="21">
        <f>G57*(1-1)</f>
        <v>0</v>
      </c>
      <c r="AQ57" s="23" t="s">
        <v>51</v>
      </c>
      <c r="AV57" s="21">
        <f>AW57+AX57</f>
        <v>0</v>
      </c>
      <c r="AW57" s="21">
        <f>F57*AO57</f>
        <v>0</v>
      </c>
      <c r="AX57" s="21">
        <f>F57*AP57</f>
        <v>0</v>
      </c>
      <c r="AY57" s="23" t="s">
        <v>299</v>
      </c>
      <c r="AZ57" s="23" t="s">
        <v>300</v>
      </c>
      <c r="BA57" s="10" t="s">
        <v>58</v>
      </c>
      <c r="BC57" s="21">
        <f>AW57+AX57</f>
        <v>0</v>
      </c>
      <c r="BD57" s="21">
        <f>G57/(100-BE57)*100</f>
        <v>0</v>
      </c>
      <c r="BE57" s="21">
        <v>0</v>
      </c>
      <c r="BF57" s="21">
        <f>L57</f>
        <v>1.7654800000000002</v>
      </c>
      <c r="BH57" s="21">
        <f>F57*AO57</f>
        <v>0</v>
      </c>
      <c r="BI57" s="21">
        <f>F57*AP57</f>
        <v>0</v>
      </c>
      <c r="BJ57" s="21">
        <f>F57*G57</f>
        <v>0</v>
      </c>
      <c r="BK57" s="21" t="s">
        <v>201</v>
      </c>
      <c r="BL57" s="21">
        <v>91</v>
      </c>
    </row>
    <row r="58" spans="1:14" ht="15">
      <c r="A58" s="2"/>
      <c r="C58" s="24" t="s">
        <v>144</v>
      </c>
      <c r="D58" s="24"/>
      <c r="F58" s="25">
        <v>38</v>
      </c>
      <c r="M58" s="26"/>
      <c r="N58" s="2"/>
    </row>
    <row r="59" spans="1:14" ht="15">
      <c r="A59" s="2"/>
      <c r="C59" s="24" t="s">
        <v>629</v>
      </c>
      <c r="D59" s="24"/>
      <c r="F59" s="25">
        <v>0.38</v>
      </c>
      <c r="M59" s="26"/>
      <c r="N59" s="2"/>
    </row>
    <row r="60" spans="1:14" ht="15">
      <c r="A60" s="2"/>
      <c r="B60" s="27"/>
      <c r="C60" s="634"/>
      <c r="D60" s="635"/>
      <c r="E60" s="635"/>
      <c r="F60" s="635"/>
      <c r="G60" s="635"/>
      <c r="H60" s="635"/>
      <c r="I60" s="635"/>
      <c r="J60" s="635"/>
      <c r="K60" s="635"/>
      <c r="L60" s="635"/>
      <c r="M60" s="636"/>
      <c r="N60" s="2"/>
    </row>
    <row r="61" spans="1:47" ht="15">
      <c r="A61" s="41"/>
      <c r="B61" s="42" t="s">
        <v>424</v>
      </c>
      <c r="C61" s="637" t="s">
        <v>425</v>
      </c>
      <c r="D61" s="638"/>
      <c r="E61" s="43" t="s">
        <v>4</v>
      </c>
      <c r="F61" s="43" t="s">
        <v>4</v>
      </c>
      <c r="G61" s="43" t="s">
        <v>4</v>
      </c>
      <c r="H61" s="44">
        <f>SUM(H62:H62)</f>
        <v>0</v>
      </c>
      <c r="I61" s="44">
        <f>SUM(I62:I62)</f>
        <v>0</v>
      </c>
      <c r="J61" s="44">
        <f>SUM(J62:J62)</f>
        <v>0</v>
      </c>
      <c r="K61" s="45"/>
      <c r="L61" s="44">
        <f>SUM(L62:L62)</f>
        <v>0</v>
      </c>
      <c r="M61" s="46"/>
      <c r="N61" s="2"/>
      <c r="AI61" s="10"/>
      <c r="AS61" s="19">
        <f>SUM(AJ62:AJ62)</f>
        <v>0</v>
      </c>
      <c r="AT61" s="19">
        <f>SUM(AK62:AK62)</f>
        <v>0</v>
      </c>
      <c r="AU61" s="19">
        <f>SUM(AL62:AL62)</f>
        <v>0</v>
      </c>
    </row>
    <row r="62" spans="1:64" ht="15">
      <c r="A62" s="28" t="s">
        <v>102</v>
      </c>
      <c r="B62" s="29" t="s">
        <v>426</v>
      </c>
      <c r="C62" s="642" t="s">
        <v>427</v>
      </c>
      <c r="D62" s="643"/>
      <c r="E62" s="29" t="s">
        <v>125</v>
      </c>
      <c r="F62" s="30">
        <v>72.54227</v>
      </c>
      <c r="G62" s="538"/>
      <c r="H62" s="30">
        <f>F62*AO62</f>
        <v>0</v>
      </c>
      <c r="I62" s="30">
        <f>F62*AP62</f>
        <v>0</v>
      </c>
      <c r="J62" s="30">
        <f>F62*G62</f>
        <v>0</v>
      </c>
      <c r="K62" s="30">
        <v>0</v>
      </c>
      <c r="L62" s="30">
        <f>F62*K62</f>
        <v>0</v>
      </c>
      <c r="M62" s="31" t="s">
        <v>55</v>
      </c>
      <c r="N62" s="2"/>
      <c r="Z62" s="21">
        <f>IF(AQ62="5",BJ62,0)</f>
        <v>0</v>
      </c>
      <c r="AB62" s="21">
        <f>IF(AQ62="1",BH62,0)</f>
        <v>0</v>
      </c>
      <c r="AC62" s="21">
        <f>IF(AQ62="1",BI62,0)</f>
        <v>0</v>
      </c>
      <c r="AD62" s="21">
        <f>IF(AQ62="7",BH62,0)</f>
        <v>0</v>
      </c>
      <c r="AE62" s="21">
        <f>IF(AQ62="7",BI62,0)</f>
        <v>0</v>
      </c>
      <c r="AF62" s="21">
        <f>IF(AQ62="2",BH62,0)</f>
        <v>0</v>
      </c>
      <c r="AG62" s="21">
        <f>IF(AQ62="2",BI62,0)</f>
        <v>0</v>
      </c>
      <c r="AH62" s="21">
        <f>IF(AQ62="0",BJ62,0)</f>
        <v>0</v>
      </c>
      <c r="AI62" s="10"/>
      <c r="AJ62" s="21">
        <f>IF(AN62=0,J62,0)</f>
        <v>0</v>
      </c>
      <c r="AK62" s="21">
        <f>IF(AN62=15,J62,0)</f>
        <v>0</v>
      </c>
      <c r="AL62" s="21">
        <f>IF(AN62=21,J62,0)</f>
        <v>0</v>
      </c>
      <c r="AN62" s="21">
        <v>21</v>
      </c>
      <c r="AO62" s="21">
        <f>G62*0</f>
        <v>0</v>
      </c>
      <c r="AP62" s="21">
        <f>G62*(1-0)</f>
        <v>0</v>
      </c>
      <c r="AQ62" s="23" t="s">
        <v>78</v>
      </c>
      <c r="AV62" s="21">
        <f>AW62+AX62</f>
        <v>0</v>
      </c>
      <c r="AW62" s="21">
        <f>F62*AO62</f>
        <v>0</v>
      </c>
      <c r="AX62" s="21">
        <f>F62*AP62</f>
        <v>0</v>
      </c>
      <c r="AY62" s="23" t="s">
        <v>428</v>
      </c>
      <c r="AZ62" s="23" t="s">
        <v>300</v>
      </c>
      <c r="BA62" s="10" t="s">
        <v>58</v>
      </c>
      <c r="BC62" s="21">
        <f>AW62+AX62</f>
        <v>0</v>
      </c>
      <c r="BD62" s="21">
        <f>G62/(100-BE62)*100</f>
        <v>0</v>
      </c>
      <c r="BE62" s="21">
        <v>0</v>
      </c>
      <c r="BF62" s="21">
        <f>L62</f>
        <v>0</v>
      </c>
      <c r="BH62" s="21">
        <f>F62*AO62</f>
        <v>0</v>
      </c>
      <c r="BI62" s="21">
        <f>F62*AP62</f>
        <v>0</v>
      </c>
      <c r="BJ62" s="21">
        <f>F62*G62</f>
        <v>0</v>
      </c>
      <c r="BK62" s="21" t="s">
        <v>59</v>
      </c>
      <c r="BL62" s="21" t="s">
        <v>424</v>
      </c>
    </row>
    <row r="63" spans="1:13" ht="15">
      <c r="A63" s="32"/>
      <c r="B63" s="32"/>
      <c r="C63" s="32"/>
      <c r="D63" s="32"/>
      <c r="E63" s="32"/>
      <c r="F63" s="32"/>
      <c r="G63" s="32"/>
      <c r="H63" s="644" t="s">
        <v>397</v>
      </c>
      <c r="I63" s="610"/>
      <c r="J63" s="33">
        <f>J12+J18+J23+J27+J32+J43+J53+J61</f>
        <v>0</v>
      </c>
      <c r="K63" s="32"/>
      <c r="L63" s="32"/>
      <c r="M63" s="32"/>
    </row>
    <row r="64" ht="11.25" customHeight="1">
      <c r="A64" s="34" t="s">
        <v>398</v>
      </c>
    </row>
    <row r="65" spans="1:13" ht="15">
      <c r="A65" s="617"/>
      <c r="B65" s="608"/>
      <c r="C65" s="608"/>
      <c r="D65" s="608"/>
      <c r="E65" s="608"/>
      <c r="F65" s="608"/>
      <c r="G65" s="608"/>
      <c r="H65" s="608"/>
      <c r="I65" s="608"/>
      <c r="J65" s="608"/>
      <c r="K65" s="608"/>
      <c r="L65" s="608"/>
      <c r="M65" s="608"/>
    </row>
  </sheetData>
  <sheetProtection algorithmName="SHA-512" hashValue="1xauByXR9mUxUCkrAijbvftFnI7weXl+gQ+2gj3Ddo5slvFAWiisU3S3tUovLod+VW8VDCSCUGO/DKae9L5ryg==" saltValue="Rfot9rVcnMgbdmm6z+uvpA==" spinCount="100000" sheet="1" objects="1" scenarios="1"/>
  <mergeCells count="64">
    <mergeCell ref="C62:D62"/>
    <mergeCell ref="H63:I63"/>
    <mergeCell ref="A65:M65"/>
    <mergeCell ref="C53:D53"/>
    <mergeCell ref="C54:D54"/>
    <mergeCell ref="C56:M56"/>
    <mergeCell ref="C57:D57"/>
    <mergeCell ref="C60:M60"/>
    <mergeCell ref="C61:D61"/>
    <mergeCell ref="C51:D51"/>
    <mergeCell ref="C33:D33"/>
    <mergeCell ref="C34:M34"/>
    <mergeCell ref="C36:D36"/>
    <mergeCell ref="C38:D38"/>
    <mergeCell ref="C39:M39"/>
    <mergeCell ref="C41:D41"/>
    <mergeCell ref="C43:D43"/>
    <mergeCell ref="C44:D44"/>
    <mergeCell ref="C46:M46"/>
    <mergeCell ref="C47:D47"/>
    <mergeCell ref="C50:M50"/>
    <mergeCell ref="H10:J10"/>
    <mergeCell ref="K10:L10"/>
    <mergeCell ref="C11:D11"/>
    <mergeCell ref="C12:D12"/>
    <mergeCell ref="C32:D32"/>
    <mergeCell ref="C15:M15"/>
    <mergeCell ref="C16:D16"/>
    <mergeCell ref="C18:D18"/>
    <mergeCell ref="C19:D19"/>
    <mergeCell ref="C21:D21"/>
    <mergeCell ref="C23:D23"/>
    <mergeCell ref="C24:D24"/>
    <mergeCell ref="C26:M26"/>
    <mergeCell ref="C27:D27"/>
    <mergeCell ref="C28:D28"/>
    <mergeCell ref="C30:D30"/>
    <mergeCell ref="C13:D13"/>
    <mergeCell ref="A8:B9"/>
    <mergeCell ref="C8:D9"/>
    <mergeCell ref="E8:F9"/>
    <mergeCell ref="G8:G9"/>
    <mergeCell ref="C10:D10"/>
    <mergeCell ref="H8:H9"/>
    <mergeCell ref="I8:M9"/>
    <mergeCell ref="A6:B7"/>
    <mergeCell ref="C6:D7"/>
    <mergeCell ref="E6:F7"/>
    <mergeCell ref="G6:G7"/>
    <mergeCell ref="H6:H7"/>
    <mergeCell ref="I6:M7"/>
    <mergeCell ref="I4:M5"/>
    <mergeCell ref="A1:M1"/>
    <mergeCell ref="A2:B3"/>
    <mergeCell ref="C2:D3"/>
    <mergeCell ref="E2:F3"/>
    <mergeCell ref="G2:G3"/>
    <mergeCell ref="H2:H3"/>
    <mergeCell ref="I2:M3"/>
    <mergeCell ref="A4:B5"/>
    <mergeCell ref="C4:D5"/>
    <mergeCell ref="E4:F5"/>
    <mergeCell ref="G4:G5"/>
    <mergeCell ref="H4:H5"/>
  </mergeCells>
  <printOptions/>
  <pageMargins left="0.7086614173228347" right="0.7086614173228347" top="0.7874015748031497" bottom="0.7874015748031497" header="0.31496062992125984" footer="0.31496062992125984"/>
  <pageSetup fitToHeight="100" horizontalDpi="600" verticalDpi="600" orientation="landscape" paperSize="9" scale="76" r:id="rId1"/>
  <headerFooter>
    <oddFooter>&amp;CStrana &amp;P z &amp;N</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602BD-3BC6-4B57-A415-2CD3FDB51356}">
  <dimension ref="A1:BL329"/>
  <sheetViews>
    <sheetView view="pageBreakPreview" zoomScale="115" zoomScaleSheetLayoutView="115" workbookViewId="0" topLeftCell="A282">
      <selection activeCell="C291" sqref="C291:D291"/>
    </sheetView>
  </sheetViews>
  <sheetFormatPr defaultColWidth="11.57421875" defaultRowHeight="15"/>
  <cols>
    <col min="1" max="1" width="3.7109375" style="1" customWidth="1"/>
    <col min="2" max="2" width="14.28125" style="1" customWidth="1"/>
    <col min="3" max="3" width="24.57421875" style="1" customWidth="1"/>
    <col min="4" max="4" width="46.42187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24.57421875" style="1" customWidth="1"/>
    <col min="260" max="260" width="46.42187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24.57421875" style="1" customWidth="1"/>
    <col min="516" max="516" width="46.42187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24.57421875" style="1" customWidth="1"/>
    <col min="772" max="772" width="46.42187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24.57421875" style="1" customWidth="1"/>
    <col min="1028" max="1028" width="46.42187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24.57421875" style="1" customWidth="1"/>
    <col min="1284" max="1284" width="46.42187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24.57421875" style="1" customWidth="1"/>
    <col min="1540" max="1540" width="46.42187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24.57421875" style="1" customWidth="1"/>
    <col min="1796" max="1796" width="46.42187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24.57421875" style="1" customWidth="1"/>
    <col min="2052" max="2052" width="46.42187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24.57421875" style="1" customWidth="1"/>
    <col min="2308" max="2308" width="46.42187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24.57421875" style="1" customWidth="1"/>
    <col min="2564" max="2564" width="46.42187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24.57421875" style="1" customWidth="1"/>
    <col min="2820" max="2820" width="46.42187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24.57421875" style="1" customWidth="1"/>
    <col min="3076" max="3076" width="46.42187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24.57421875" style="1" customWidth="1"/>
    <col min="3332" max="3332" width="46.42187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24.57421875" style="1" customWidth="1"/>
    <col min="3588" max="3588" width="46.42187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24.57421875" style="1" customWidth="1"/>
    <col min="3844" max="3844" width="46.42187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24.57421875" style="1" customWidth="1"/>
    <col min="4100" max="4100" width="46.42187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24.57421875" style="1" customWidth="1"/>
    <col min="4356" max="4356" width="46.42187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24.57421875" style="1" customWidth="1"/>
    <col min="4612" max="4612" width="46.42187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24.57421875" style="1" customWidth="1"/>
    <col min="4868" max="4868" width="46.42187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24.57421875" style="1" customWidth="1"/>
    <col min="5124" max="5124" width="46.42187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24.57421875" style="1" customWidth="1"/>
    <col min="5380" max="5380" width="46.42187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24.57421875" style="1" customWidth="1"/>
    <col min="5636" max="5636" width="46.42187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24.57421875" style="1" customWidth="1"/>
    <col min="5892" max="5892" width="46.42187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24.57421875" style="1" customWidth="1"/>
    <col min="6148" max="6148" width="46.42187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24.57421875" style="1" customWidth="1"/>
    <col min="6404" max="6404" width="46.42187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24.57421875" style="1" customWidth="1"/>
    <col min="6660" max="6660" width="46.42187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24.57421875" style="1" customWidth="1"/>
    <col min="6916" max="6916" width="46.42187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24.57421875" style="1" customWidth="1"/>
    <col min="7172" max="7172" width="46.42187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24.57421875" style="1" customWidth="1"/>
    <col min="7428" max="7428" width="46.42187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24.57421875" style="1" customWidth="1"/>
    <col min="7684" max="7684" width="46.42187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24.57421875" style="1" customWidth="1"/>
    <col min="7940" max="7940" width="46.42187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24.57421875" style="1" customWidth="1"/>
    <col min="8196" max="8196" width="46.42187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24.57421875" style="1" customWidth="1"/>
    <col min="8452" max="8452" width="46.42187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24.57421875" style="1" customWidth="1"/>
    <col min="8708" max="8708" width="46.42187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24.57421875" style="1" customWidth="1"/>
    <col min="8964" max="8964" width="46.42187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24.57421875" style="1" customWidth="1"/>
    <col min="9220" max="9220" width="46.42187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24.57421875" style="1" customWidth="1"/>
    <col min="9476" max="9476" width="46.42187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24.57421875" style="1" customWidth="1"/>
    <col min="9732" max="9732" width="46.42187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24.57421875" style="1" customWidth="1"/>
    <col min="9988" max="9988" width="46.42187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24.57421875" style="1" customWidth="1"/>
    <col min="10244" max="10244" width="46.42187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24.57421875" style="1" customWidth="1"/>
    <col min="10500" max="10500" width="46.42187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24.57421875" style="1" customWidth="1"/>
    <col min="10756" max="10756" width="46.42187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24.57421875" style="1" customWidth="1"/>
    <col min="11012" max="11012" width="46.42187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24.57421875" style="1" customWidth="1"/>
    <col min="11268" max="11268" width="46.42187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24.57421875" style="1" customWidth="1"/>
    <col min="11524" max="11524" width="46.42187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24.57421875" style="1" customWidth="1"/>
    <col min="11780" max="11780" width="46.42187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24.57421875" style="1" customWidth="1"/>
    <col min="12036" max="12036" width="46.42187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24.57421875" style="1" customWidth="1"/>
    <col min="12292" max="12292" width="46.42187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24.57421875" style="1" customWidth="1"/>
    <col min="12548" max="12548" width="46.42187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24.57421875" style="1" customWidth="1"/>
    <col min="12804" max="12804" width="46.42187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24.57421875" style="1" customWidth="1"/>
    <col min="13060" max="13060" width="46.42187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24.57421875" style="1" customWidth="1"/>
    <col min="13316" max="13316" width="46.42187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24.57421875" style="1" customWidth="1"/>
    <col min="13572" max="13572" width="46.42187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24.57421875" style="1" customWidth="1"/>
    <col min="13828" max="13828" width="46.42187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24.57421875" style="1" customWidth="1"/>
    <col min="14084" max="14084" width="46.42187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24.57421875" style="1" customWidth="1"/>
    <col min="14340" max="14340" width="46.42187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24.57421875" style="1" customWidth="1"/>
    <col min="14596" max="14596" width="46.42187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24.57421875" style="1" customWidth="1"/>
    <col min="14852" max="14852" width="46.42187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24.57421875" style="1" customWidth="1"/>
    <col min="15108" max="15108" width="46.42187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24.57421875" style="1" customWidth="1"/>
    <col min="15364" max="15364" width="46.42187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24.57421875" style="1" customWidth="1"/>
    <col min="15620" max="15620" width="46.42187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24.57421875" style="1" customWidth="1"/>
    <col min="15876" max="15876" width="46.42187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24.57421875" style="1" customWidth="1"/>
    <col min="16132" max="16132" width="46.42187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630</v>
      </c>
      <c r="D2" s="610"/>
      <c r="E2" s="612" t="s">
        <v>3</v>
      </c>
      <c r="F2" s="606"/>
      <c r="G2" s="612" t="s">
        <v>4</v>
      </c>
      <c r="H2" s="613" t="s">
        <v>5</v>
      </c>
      <c r="I2" s="613" t="s">
        <v>6</v>
      </c>
      <c r="J2" s="606"/>
      <c r="K2" s="606"/>
      <c r="L2" s="606"/>
      <c r="M2" s="614"/>
      <c r="N2" s="2"/>
    </row>
    <row r="3" spans="1:14" ht="15">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49</v>
      </c>
      <c r="C12" s="629" t="s">
        <v>50</v>
      </c>
      <c r="D12" s="630"/>
      <c r="E12" s="37" t="s">
        <v>4</v>
      </c>
      <c r="F12" s="37" t="s">
        <v>4</v>
      </c>
      <c r="G12" s="37" t="s">
        <v>4</v>
      </c>
      <c r="H12" s="38">
        <f>SUM(H13:H39)</f>
        <v>0</v>
      </c>
      <c r="I12" s="38">
        <f>SUM(I13:I39)</f>
        <v>0</v>
      </c>
      <c r="J12" s="38">
        <f>SUM(J13:J39)</f>
        <v>0</v>
      </c>
      <c r="K12" s="39"/>
      <c r="L12" s="38">
        <f>SUM(L13:L39)</f>
        <v>291.95766000000003</v>
      </c>
      <c r="M12" s="40"/>
      <c r="N12" s="2"/>
      <c r="AI12" s="10"/>
      <c r="AS12" s="19">
        <f>SUM(AJ13:AJ39)</f>
        <v>0</v>
      </c>
      <c r="AT12" s="19">
        <f>SUM(AK13:AK39)</f>
        <v>0</v>
      </c>
      <c r="AU12" s="19">
        <f>SUM(AL13:AL39)</f>
        <v>0</v>
      </c>
    </row>
    <row r="13" spans="1:64" ht="15">
      <c r="A13" s="20" t="s">
        <v>51</v>
      </c>
      <c r="B13" s="3" t="s">
        <v>437</v>
      </c>
      <c r="C13" s="618" t="s">
        <v>438</v>
      </c>
      <c r="D13" s="608"/>
      <c r="E13" s="3" t="s">
        <v>54</v>
      </c>
      <c r="F13" s="21">
        <v>155</v>
      </c>
      <c r="G13" s="537"/>
      <c r="H13" s="21">
        <f>F13*AO13</f>
        <v>0</v>
      </c>
      <c r="I13" s="21">
        <f>F13*AP13</f>
        <v>0</v>
      </c>
      <c r="J13" s="21">
        <f>F13*G13</f>
        <v>0</v>
      </c>
      <c r="K13" s="21">
        <v>0.11</v>
      </c>
      <c r="L13" s="21">
        <f>F13*K13</f>
        <v>17.05</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56</v>
      </c>
      <c r="AZ13" s="23" t="s">
        <v>57</v>
      </c>
      <c r="BA13" s="10" t="s">
        <v>58</v>
      </c>
      <c r="BC13" s="21">
        <f>AW13+AX13</f>
        <v>0</v>
      </c>
      <c r="BD13" s="21">
        <f>G13/(100-BE13)*100</f>
        <v>0</v>
      </c>
      <c r="BE13" s="21">
        <v>0</v>
      </c>
      <c r="BF13" s="21">
        <f>L13</f>
        <v>17.05</v>
      </c>
      <c r="BH13" s="21">
        <f>F13*AO13</f>
        <v>0</v>
      </c>
      <c r="BI13" s="21">
        <f>F13*AP13</f>
        <v>0</v>
      </c>
      <c r="BJ13" s="21">
        <f>F13*G13</f>
        <v>0</v>
      </c>
      <c r="BK13" s="21" t="s">
        <v>59</v>
      </c>
      <c r="BL13" s="21">
        <v>11</v>
      </c>
    </row>
    <row r="14" spans="1:14" ht="15">
      <c r="A14" s="2"/>
      <c r="C14" s="24" t="s">
        <v>631</v>
      </c>
      <c r="D14" s="24"/>
      <c r="F14" s="25">
        <v>155</v>
      </c>
      <c r="M14" s="26"/>
      <c r="N14" s="2"/>
    </row>
    <row r="15" spans="1:64" ht="15">
      <c r="A15" s="20" t="s">
        <v>63</v>
      </c>
      <c r="B15" s="3" t="s">
        <v>439</v>
      </c>
      <c r="C15" s="618" t="s">
        <v>440</v>
      </c>
      <c r="D15" s="608"/>
      <c r="E15" s="3" t="s">
        <v>54</v>
      </c>
      <c r="F15" s="21">
        <v>115</v>
      </c>
      <c r="G15" s="537"/>
      <c r="H15" s="21">
        <f>F15*AO15</f>
        <v>0</v>
      </c>
      <c r="I15" s="21">
        <f>F15*AP15</f>
        <v>0</v>
      </c>
      <c r="J15" s="21">
        <f>F15*G15</f>
        <v>0</v>
      </c>
      <c r="K15" s="21">
        <v>0.132</v>
      </c>
      <c r="L15" s="21">
        <f>F15*K15</f>
        <v>15.180000000000001</v>
      </c>
      <c r="M15" s="22" t="s">
        <v>55</v>
      </c>
      <c r="N15" s="2"/>
      <c r="Z15" s="21">
        <f>IF(AQ15="5",BJ15,0)</f>
        <v>0</v>
      </c>
      <c r="AB15" s="21">
        <f>IF(AQ15="1",BH15,0)</f>
        <v>0</v>
      </c>
      <c r="AC15" s="21">
        <f>IF(AQ15="1",BI15,0)</f>
        <v>0</v>
      </c>
      <c r="AD15" s="21">
        <f>IF(AQ15="7",BH15,0)</f>
        <v>0</v>
      </c>
      <c r="AE15" s="21">
        <f>IF(AQ15="7",BI15,0)</f>
        <v>0</v>
      </c>
      <c r="AF15" s="21">
        <f>IF(AQ15="2",BH15,0)</f>
        <v>0</v>
      </c>
      <c r="AG15" s="21">
        <f>IF(AQ15="2",BI15,0)</f>
        <v>0</v>
      </c>
      <c r="AH15" s="21">
        <f>IF(AQ15="0",BJ15,0)</f>
        <v>0</v>
      </c>
      <c r="AI15" s="10"/>
      <c r="AJ15" s="21">
        <f>IF(AN15=0,J15,0)</f>
        <v>0</v>
      </c>
      <c r="AK15" s="21">
        <f>IF(AN15=15,J15,0)</f>
        <v>0</v>
      </c>
      <c r="AL15" s="21">
        <f>IF(AN15=21,J15,0)</f>
        <v>0</v>
      </c>
      <c r="AN15" s="21">
        <v>21</v>
      </c>
      <c r="AO15" s="21">
        <f>G15*0</f>
        <v>0</v>
      </c>
      <c r="AP15" s="21">
        <f>G15*(1-0)</f>
        <v>0</v>
      </c>
      <c r="AQ15" s="23" t="s">
        <v>51</v>
      </c>
      <c r="AV15" s="21">
        <f>AW15+AX15</f>
        <v>0</v>
      </c>
      <c r="AW15" s="21">
        <f>F15*AO15</f>
        <v>0</v>
      </c>
      <c r="AX15" s="21">
        <f>F15*AP15</f>
        <v>0</v>
      </c>
      <c r="AY15" s="23" t="s">
        <v>56</v>
      </c>
      <c r="AZ15" s="23" t="s">
        <v>57</v>
      </c>
      <c r="BA15" s="10" t="s">
        <v>58</v>
      </c>
      <c r="BC15" s="21">
        <f>AW15+AX15</f>
        <v>0</v>
      </c>
      <c r="BD15" s="21">
        <f>G15/(100-BE15)*100</f>
        <v>0</v>
      </c>
      <c r="BE15" s="21">
        <v>0</v>
      </c>
      <c r="BF15" s="21">
        <f>L15</f>
        <v>15.180000000000001</v>
      </c>
      <c r="BH15" s="21">
        <f>F15*AO15</f>
        <v>0</v>
      </c>
      <c r="BI15" s="21">
        <f>F15*AP15</f>
        <v>0</v>
      </c>
      <c r="BJ15" s="21">
        <f>F15*G15</f>
        <v>0</v>
      </c>
      <c r="BK15" s="21" t="s">
        <v>59</v>
      </c>
      <c r="BL15" s="21">
        <v>11</v>
      </c>
    </row>
    <row r="16" spans="1:14" ht="15">
      <c r="A16" s="2"/>
      <c r="C16" s="24" t="s">
        <v>632</v>
      </c>
      <c r="D16" s="24"/>
      <c r="F16" s="25">
        <v>115</v>
      </c>
      <c r="M16" s="26"/>
      <c r="N16" s="2"/>
    </row>
    <row r="17" spans="1:14" ht="25.65" customHeight="1">
      <c r="A17" s="2"/>
      <c r="B17" s="27" t="s">
        <v>61</v>
      </c>
      <c r="C17" s="634" t="s">
        <v>433</v>
      </c>
      <c r="D17" s="635"/>
      <c r="E17" s="635"/>
      <c r="F17" s="635"/>
      <c r="G17" s="635"/>
      <c r="H17" s="635"/>
      <c r="I17" s="635"/>
      <c r="J17" s="635"/>
      <c r="K17" s="635"/>
      <c r="L17" s="635"/>
      <c r="M17" s="636"/>
      <c r="N17" s="2"/>
    </row>
    <row r="18" spans="1:64" ht="15">
      <c r="A18" s="20" t="s">
        <v>67</v>
      </c>
      <c r="B18" s="3" t="s">
        <v>441</v>
      </c>
      <c r="C18" s="618" t="s">
        <v>442</v>
      </c>
      <c r="D18" s="608"/>
      <c r="E18" s="3" t="s">
        <v>54</v>
      </c>
      <c r="F18" s="21">
        <v>105</v>
      </c>
      <c r="G18" s="537"/>
      <c r="H18" s="21">
        <f>F18*AO18</f>
        <v>0</v>
      </c>
      <c r="I18" s="21">
        <f>F18*AP18</f>
        <v>0</v>
      </c>
      <c r="J18" s="21">
        <f>F18*G18</f>
        <v>0</v>
      </c>
      <c r="K18" s="21">
        <v>0.11</v>
      </c>
      <c r="L18" s="21">
        <f>F18*K18</f>
        <v>11.55</v>
      </c>
      <c r="M18" s="22" t="s">
        <v>55</v>
      </c>
      <c r="N18" s="2"/>
      <c r="Z18" s="21">
        <f>IF(AQ18="5",BJ18,0)</f>
        <v>0</v>
      </c>
      <c r="AB18" s="21">
        <f>IF(AQ18="1",BH18,0)</f>
        <v>0</v>
      </c>
      <c r="AC18" s="21">
        <f>IF(AQ18="1",BI18,0)</f>
        <v>0</v>
      </c>
      <c r="AD18" s="21">
        <f>IF(AQ18="7",BH18,0)</f>
        <v>0</v>
      </c>
      <c r="AE18" s="21">
        <f>IF(AQ18="7",BI18,0)</f>
        <v>0</v>
      </c>
      <c r="AF18" s="21">
        <f>IF(AQ18="2",BH18,0)</f>
        <v>0</v>
      </c>
      <c r="AG18" s="21">
        <f>IF(AQ18="2",BI18,0)</f>
        <v>0</v>
      </c>
      <c r="AH18" s="21">
        <f>IF(AQ18="0",BJ18,0)</f>
        <v>0</v>
      </c>
      <c r="AI18" s="10"/>
      <c r="AJ18" s="21">
        <f>IF(AN18=0,J18,0)</f>
        <v>0</v>
      </c>
      <c r="AK18" s="21">
        <f>IF(AN18=15,J18,0)</f>
        <v>0</v>
      </c>
      <c r="AL18" s="21">
        <f>IF(AN18=21,J18,0)</f>
        <v>0</v>
      </c>
      <c r="AN18" s="21">
        <v>21</v>
      </c>
      <c r="AO18" s="21">
        <f>G18*0</f>
        <v>0</v>
      </c>
      <c r="AP18" s="21">
        <f>G18*(1-0)</f>
        <v>0</v>
      </c>
      <c r="AQ18" s="23" t="s">
        <v>51</v>
      </c>
      <c r="AV18" s="21">
        <f>AW18+AX18</f>
        <v>0</v>
      </c>
      <c r="AW18" s="21">
        <f>F18*AO18</f>
        <v>0</v>
      </c>
      <c r="AX18" s="21">
        <f>F18*AP18</f>
        <v>0</v>
      </c>
      <c r="AY18" s="23" t="s">
        <v>56</v>
      </c>
      <c r="AZ18" s="23" t="s">
        <v>57</v>
      </c>
      <c r="BA18" s="10" t="s">
        <v>58</v>
      </c>
      <c r="BC18" s="21">
        <f>AW18+AX18</f>
        <v>0</v>
      </c>
      <c r="BD18" s="21">
        <f>G18/(100-BE18)*100</f>
        <v>0</v>
      </c>
      <c r="BE18" s="21">
        <v>0</v>
      </c>
      <c r="BF18" s="21">
        <f>L18</f>
        <v>11.55</v>
      </c>
      <c r="BH18" s="21">
        <f>F18*AO18</f>
        <v>0</v>
      </c>
      <c r="BI18" s="21">
        <f>F18*AP18</f>
        <v>0</v>
      </c>
      <c r="BJ18" s="21">
        <f>F18*G18</f>
        <v>0</v>
      </c>
      <c r="BK18" s="21" t="s">
        <v>59</v>
      </c>
      <c r="BL18" s="21">
        <v>11</v>
      </c>
    </row>
    <row r="19" spans="1:14" ht="15">
      <c r="A19" s="2"/>
      <c r="C19" s="24" t="s">
        <v>256</v>
      </c>
      <c r="D19" s="24"/>
      <c r="F19" s="25">
        <v>105</v>
      </c>
      <c r="M19" s="26"/>
      <c r="N19" s="2"/>
    </row>
    <row r="20" spans="1:14" ht="25.65" customHeight="1">
      <c r="A20" s="2"/>
      <c r="B20" s="27" t="s">
        <v>61</v>
      </c>
      <c r="C20" s="634" t="s">
        <v>433</v>
      </c>
      <c r="D20" s="635"/>
      <c r="E20" s="635"/>
      <c r="F20" s="635"/>
      <c r="G20" s="635"/>
      <c r="H20" s="635"/>
      <c r="I20" s="635"/>
      <c r="J20" s="635"/>
      <c r="K20" s="635"/>
      <c r="L20" s="635"/>
      <c r="M20" s="636"/>
      <c r="N20" s="2"/>
    </row>
    <row r="21" spans="1:64" ht="15">
      <c r="A21" s="20" t="s">
        <v>71</v>
      </c>
      <c r="B21" s="3" t="s">
        <v>633</v>
      </c>
      <c r="C21" s="618" t="s">
        <v>634</v>
      </c>
      <c r="D21" s="608"/>
      <c r="E21" s="3" t="s">
        <v>54</v>
      </c>
      <c r="F21" s="21">
        <v>131</v>
      </c>
      <c r="G21" s="537"/>
      <c r="H21" s="21">
        <f>F21*AO21</f>
        <v>0</v>
      </c>
      <c r="I21" s="21">
        <f>F21*AP21</f>
        <v>0</v>
      </c>
      <c r="J21" s="21">
        <f>F21*G21</f>
        <v>0</v>
      </c>
      <c r="K21" s="21">
        <v>0.51086</v>
      </c>
      <c r="L21" s="21">
        <f>F21*K21</f>
        <v>66.92266</v>
      </c>
      <c r="M21" s="22" t="s">
        <v>55</v>
      </c>
      <c r="N21" s="2"/>
      <c r="Z21" s="21">
        <f>IF(AQ21="5",BJ21,0)</f>
        <v>0</v>
      </c>
      <c r="AB21" s="21">
        <f>IF(AQ21="1",BH21,0)</f>
        <v>0</v>
      </c>
      <c r="AC21" s="21">
        <f>IF(AQ21="1",BI21,0)</f>
        <v>0</v>
      </c>
      <c r="AD21" s="21">
        <f>IF(AQ21="7",BH21,0)</f>
        <v>0</v>
      </c>
      <c r="AE21" s="21">
        <f>IF(AQ21="7",BI21,0)</f>
        <v>0</v>
      </c>
      <c r="AF21" s="21">
        <f>IF(AQ21="2",BH21,0)</f>
        <v>0</v>
      </c>
      <c r="AG21" s="21">
        <f>IF(AQ21="2",BI21,0)</f>
        <v>0</v>
      </c>
      <c r="AH21" s="21">
        <f>IF(AQ21="0",BJ21,0)</f>
        <v>0</v>
      </c>
      <c r="AI21" s="10"/>
      <c r="AJ21" s="21">
        <f>IF(AN21=0,J21,0)</f>
        <v>0</v>
      </c>
      <c r="AK21" s="21">
        <f>IF(AN21=15,J21,0)</f>
        <v>0</v>
      </c>
      <c r="AL21" s="21">
        <f>IF(AN21=21,J21,0)</f>
        <v>0</v>
      </c>
      <c r="AN21" s="21">
        <v>21</v>
      </c>
      <c r="AO21" s="21">
        <f>G21*0</f>
        <v>0</v>
      </c>
      <c r="AP21" s="21">
        <f>G21*(1-0)</f>
        <v>0</v>
      </c>
      <c r="AQ21" s="23" t="s">
        <v>51</v>
      </c>
      <c r="AV21" s="21">
        <f>AW21+AX21</f>
        <v>0</v>
      </c>
      <c r="AW21" s="21">
        <f>F21*AO21</f>
        <v>0</v>
      </c>
      <c r="AX21" s="21">
        <f>F21*AP21</f>
        <v>0</v>
      </c>
      <c r="AY21" s="23" t="s">
        <v>56</v>
      </c>
      <c r="AZ21" s="23" t="s">
        <v>57</v>
      </c>
      <c r="BA21" s="10" t="s">
        <v>58</v>
      </c>
      <c r="BC21" s="21">
        <f>AW21+AX21</f>
        <v>0</v>
      </c>
      <c r="BD21" s="21">
        <f>G21/(100-BE21)*100</f>
        <v>0</v>
      </c>
      <c r="BE21" s="21">
        <v>0</v>
      </c>
      <c r="BF21" s="21">
        <f>L21</f>
        <v>66.92266</v>
      </c>
      <c r="BH21" s="21">
        <f>F21*AO21</f>
        <v>0</v>
      </c>
      <c r="BI21" s="21">
        <f>F21*AP21</f>
        <v>0</v>
      </c>
      <c r="BJ21" s="21">
        <f>F21*G21</f>
        <v>0</v>
      </c>
      <c r="BK21" s="21" t="s">
        <v>59</v>
      </c>
      <c r="BL21" s="21">
        <v>11</v>
      </c>
    </row>
    <row r="22" spans="1:14" ht="15">
      <c r="A22" s="2"/>
      <c r="C22" s="24" t="s">
        <v>635</v>
      </c>
      <c r="D22" s="24"/>
      <c r="F22" s="25">
        <v>131</v>
      </c>
      <c r="M22" s="26"/>
      <c r="N22" s="2"/>
    </row>
    <row r="23" spans="1:14" ht="15">
      <c r="A23" s="2"/>
      <c r="B23" s="27" t="s">
        <v>61</v>
      </c>
      <c r="C23" s="634" t="s">
        <v>436</v>
      </c>
      <c r="D23" s="635"/>
      <c r="E23" s="635"/>
      <c r="F23" s="635"/>
      <c r="G23" s="635"/>
      <c r="H23" s="635"/>
      <c r="I23" s="635"/>
      <c r="J23" s="635"/>
      <c r="K23" s="635"/>
      <c r="L23" s="635"/>
      <c r="M23" s="636"/>
      <c r="N23" s="2"/>
    </row>
    <row r="24" spans="1:64" ht="15">
      <c r="A24" s="20" t="s">
        <v>78</v>
      </c>
      <c r="B24" s="3" t="s">
        <v>636</v>
      </c>
      <c r="C24" s="618" t="s">
        <v>637</v>
      </c>
      <c r="D24" s="608"/>
      <c r="E24" s="3" t="s">
        <v>54</v>
      </c>
      <c r="F24" s="21">
        <v>122</v>
      </c>
      <c r="G24" s="537"/>
      <c r="H24" s="21">
        <f>F24*AO24</f>
        <v>0</v>
      </c>
      <c r="I24" s="21">
        <f>F24*AP24</f>
        <v>0</v>
      </c>
      <c r="J24" s="21">
        <f>F24*G24</f>
        <v>0</v>
      </c>
      <c r="K24" s="21">
        <v>0.44</v>
      </c>
      <c r="L24" s="21">
        <f>F24*K24</f>
        <v>53.68</v>
      </c>
      <c r="M24" s="22" t="s">
        <v>55</v>
      </c>
      <c r="N24" s="2"/>
      <c r="Z24" s="21">
        <f>IF(AQ24="5",BJ24,0)</f>
        <v>0</v>
      </c>
      <c r="AB24" s="21">
        <f>IF(AQ24="1",BH24,0)</f>
        <v>0</v>
      </c>
      <c r="AC24" s="21">
        <f>IF(AQ24="1",BI24,0)</f>
        <v>0</v>
      </c>
      <c r="AD24" s="21">
        <f>IF(AQ24="7",BH24,0)</f>
        <v>0</v>
      </c>
      <c r="AE24" s="21">
        <f>IF(AQ24="7",BI24,0)</f>
        <v>0</v>
      </c>
      <c r="AF24" s="21">
        <f>IF(AQ24="2",BH24,0)</f>
        <v>0</v>
      </c>
      <c r="AG24" s="21">
        <f>IF(AQ24="2",BI24,0)</f>
        <v>0</v>
      </c>
      <c r="AH24" s="21">
        <f>IF(AQ24="0",BJ24,0)</f>
        <v>0</v>
      </c>
      <c r="AI24" s="10"/>
      <c r="AJ24" s="21">
        <f>IF(AN24=0,J24,0)</f>
        <v>0</v>
      </c>
      <c r="AK24" s="21">
        <f>IF(AN24=15,J24,0)</f>
        <v>0</v>
      </c>
      <c r="AL24" s="21">
        <f>IF(AN24=21,J24,0)</f>
        <v>0</v>
      </c>
      <c r="AN24" s="21">
        <v>21</v>
      </c>
      <c r="AO24" s="21">
        <f>G24*0</f>
        <v>0</v>
      </c>
      <c r="AP24" s="21">
        <f>G24*(1-0)</f>
        <v>0</v>
      </c>
      <c r="AQ24" s="23" t="s">
        <v>51</v>
      </c>
      <c r="AV24" s="21">
        <f>AW24+AX24</f>
        <v>0</v>
      </c>
      <c r="AW24" s="21">
        <f>F24*AO24</f>
        <v>0</v>
      </c>
      <c r="AX24" s="21">
        <f>F24*AP24</f>
        <v>0</v>
      </c>
      <c r="AY24" s="23" t="s">
        <v>56</v>
      </c>
      <c r="AZ24" s="23" t="s">
        <v>57</v>
      </c>
      <c r="BA24" s="10" t="s">
        <v>58</v>
      </c>
      <c r="BC24" s="21">
        <f>AW24+AX24</f>
        <v>0</v>
      </c>
      <c r="BD24" s="21">
        <f>G24/(100-BE24)*100</f>
        <v>0</v>
      </c>
      <c r="BE24" s="21">
        <v>0</v>
      </c>
      <c r="BF24" s="21">
        <f>L24</f>
        <v>53.68</v>
      </c>
      <c r="BH24" s="21">
        <f>F24*AO24</f>
        <v>0</v>
      </c>
      <c r="BI24" s="21">
        <f>F24*AP24</f>
        <v>0</v>
      </c>
      <c r="BJ24" s="21">
        <f>F24*G24</f>
        <v>0</v>
      </c>
      <c r="BK24" s="21" t="s">
        <v>59</v>
      </c>
      <c r="BL24" s="21">
        <v>11</v>
      </c>
    </row>
    <row r="25" spans="1:14" ht="15">
      <c r="A25" s="2"/>
      <c r="C25" s="24" t="s">
        <v>638</v>
      </c>
      <c r="D25" s="24"/>
      <c r="F25" s="25">
        <v>122</v>
      </c>
      <c r="M25" s="26"/>
      <c r="N25" s="2"/>
    </row>
    <row r="26" spans="1:14" ht="25.65" customHeight="1">
      <c r="A26" s="2"/>
      <c r="B26" s="27" t="s">
        <v>61</v>
      </c>
      <c r="C26" s="634" t="s">
        <v>62</v>
      </c>
      <c r="D26" s="635"/>
      <c r="E26" s="635"/>
      <c r="F26" s="635"/>
      <c r="G26" s="635"/>
      <c r="H26" s="635"/>
      <c r="I26" s="635"/>
      <c r="J26" s="635"/>
      <c r="K26" s="635"/>
      <c r="L26" s="635"/>
      <c r="M26" s="636"/>
      <c r="N26" s="2"/>
    </row>
    <row r="27" spans="1:64" ht="15">
      <c r="A27" s="20" t="s">
        <v>85</v>
      </c>
      <c r="B27" s="3" t="s">
        <v>639</v>
      </c>
      <c r="C27" s="618" t="s">
        <v>640</v>
      </c>
      <c r="D27" s="608"/>
      <c r="E27" s="3" t="s">
        <v>54</v>
      </c>
      <c r="F27" s="21">
        <v>36</v>
      </c>
      <c r="G27" s="537"/>
      <c r="H27" s="21">
        <f>F27*AO27</f>
        <v>0</v>
      </c>
      <c r="I27" s="21">
        <f>F27*AP27</f>
        <v>0</v>
      </c>
      <c r="J27" s="21">
        <f>F27*G27</f>
        <v>0</v>
      </c>
      <c r="K27" s="21">
        <v>0.2</v>
      </c>
      <c r="L27" s="21">
        <f>F27*K27</f>
        <v>7.2</v>
      </c>
      <c r="M27" s="22" t="s">
        <v>55</v>
      </c>
      <c r="N27" s="2"/>
      <c r="Z27" s="21">
        <f>IF(AQ27="5",BJ27,0)</f>
        <v>0</v>
      </c>
      <c r="AB27" s="21">
        <f>IF(AQ27="1",BH27,0)</f>
        <v>0</v>
      </c>
      <c r="AC27" s="21">
        <f>IF(AQ27="1",BI27,0)</f>
        <v>0</v>
      </c>
      <c r="AD27" s="21">
        <f>IF(AQ27="7",BH27,0)</f>
        <v>0</v>
      </c>
      <c r="AE27" s="21">
        <f>IF(AQ27="7",BI27,0)</f>
        <v>0</v>
      </c>
      <c r="AF27" s="21">
        <f>IF(AQ27="2",BH27,0)</f>
        <v>0</v>
      </c>
      <c r="AG27" s="21">
        <f>IF(AQ27="2",BI27,0)</f>
        <v>0</v>
      </c>
      <c r="AH27" s="21">
        <f>IF(AQ27="0",BJ27,0)</f>
        <v>0</v>
      </c>
      <c r="AI27" s="10"/>
      <c r="AJ27" s="21">
        <f>IF(AN27=0,J27,0)</f>
        <v>0</v>
      </c>
      <c r="AK27" s="21">
        <f>IF(AN27=15,J27,0)</f>
        <v>0</v>
      </c>
      <c r="AL27" s="21">
        <f>IF(AN27=21,J27,0)</f>
        <v>0</v>
      </c>
      <c r="AN27" s="21">
        <v>21</v>
      </c>
      <c r="AO27" s="21">
        <f>G27*0</f>
        <v>0</v>
      </c>
      <c r="AP27" s="21">
        <f>G27*(1-0)</f>
        <v>0</v>
      </c>
      <c r="AQ27" s="23" t="s">
        <v>51</v>
      </c>
      <c r="AV27" s="21">
        <f>AW27+AX27</f>
        <v>0</v>
      </c>
      <c r="AW27" s="21">
        <f>F27*AO27</f>
        <v>0</v>
      </c>
      <c r="AX27" s="21">
        <f>F27*AP27</f>
        <v>0</v>
      </c>
      <c r="AY27" s="23" t="s">
        <v>56</v>
      </c>
      <c r="AZ27" s="23" t="s">
        <v>57</v>
      </c>
      <c r="BA27" s="10" t="s">
        <v>58</v>
      </c>
      <c r="BC27" s="21">
        <f>AW27+AX27</f>
        <v>0</v>
      </c>
      <c r="BD27" s="21">
        <f>G27/(100-BE27)*100</f>
        <v>0</v>
      </c>
      <c r="BE27" s="21">
        <v>0</v>
      </c>
      <c r="BF27" s="21">
        <f>L27</f>
        <v>7.2</v>
      </c>
      <c r="BH27" s="21">
        <f>F27*AO27</f>
        <v>0</v>
      </c>
      <c r="BI27" s="21">
        <f>F27*AP27</f>
        <v>0</v>
      </c>
      <c r="BJ27" s="21">
        <f>F27*G27</f>
        <v>0</v>
      </c>
      <c r="BK27" s="21" t="s">
        <v>59</v>
      </c>
      <c r="BL27" s="21">
        <v>11</v>
      </c>
    </row>
    <row r="28" spans="1:14" ht="15">
      <c r="A28" s="2"/>
      <c r="C28" s="24" t="s">
        <v>237</v>
      </c>
      <c r="D28" s="24"/>
      <c r="F28" s="25">
        <v>36</v>
      </c>
      <c r="M28" s="26"/>
      <c r="N28" s="2"/>
    </row>
    <row r="29" spans="1:64" ht="15">
      <c r="A29" s="20" t="s">
        <v>89</v>
      </c>
      <c r="B29" s="3" t="s">
        <v>68</v>
      </c>
      <c r="C29" s="618" t="s">
        <v>69</v>
      </c>
      <c r="D29" s="608"/>
      <c r="E29" s="3" t="s">
        <v>54</v>
      </c>
      <c r="F29" s="21">
        <v>159</v>
      </c>
      <c r="G29" s="537"/>
      <c r="H29" s="21">
        <f>F29*AO29</f>
        <v>0</v>
      </c>
      <c r="I29" s="21">
        <f>F29*AP29</f>
        <v>0</v>
      </c>
      <c r="J29" s="21">
        <f>F29*G29</f>
        <v>0</v>
      </c>
      <c r="K29" s="21">
        <v>0.225</v>
      </c>
      <c r="L29" s="21">
        <f>F29*K29</f>
        <v>35.775</v>
      </c>
      <c r="M29" s="22" t="s">
        <v>55</v>
      </c>
      <c r="N29" s="2"/>
      <c r="Z29" s="21">
        <f>IF(AQ29="5",BJ29,0)</f>
        <v>0</v>
      </c>
      <c r="AB29" s="21">
        <f>IF(AQ29="1",BH29,0)</f>
        <v>0</v>
      </c>
      <c r="AC29" s="21">
        <f>IF(AQ29="1",BI29,0)</f>
        <v>0</v>
      </c>
      <c r="AD29" s="21">
        <f>IF(AQ29="7",BH29,0)</f>
        <v>0</v>
      </c>
      <c r="AE29" s="21">
        <f>IF(AQ29="7",BI29,0)</f>
        <v>0</v>
      </c>
      <c r="AF29" s="21">
        <f>IF(AQ29="2",BH29,0)</f>
        <v>0</v>
      </c>
      <c r="AG29" s="21">
        <f>IF(AQ29="2",BI29,0)</f>
        <v>0</v>
      </c>
      <c r="AH29" s="21">
        <f>IF(AQ29="0",BJ29,0)</f>
        <v>0</v>
      </c>
      <c r="AI29" s="10"/>
      <c r="AJ29" s="21">
        <f>IF(AN29=0,J29,0)</f>
        <v>0</v>
      </c>
      <c r="AK29" s="21">
        <f>IF(AN29=15,J29,0)</f>
        <v>0</v>
      </c>
      <c r="AL29" s="21">
        <f>IF(AN29=21,J29,0)</f>
        <v>0</v>
      </c>
      <c r="AN29" s="21">
        <v>21</v>
      </c>
      <c r="AO29" s="21">
        <f>G29*0</f>
        <v>0</v>
      </c>
      <c r="AP29" s="21">
        <f>G29*(1-0)</f>
        <v>0</v>
      </c>
      <c r="AQ29" s="23" t="s">
        <v>51</v>
      </c>
      <c r="AV29" s="21">
        <f>AW29+AX29</f>
        <v>0</v>
      </c>
      <c r="AW29" s="21">
        <f>F29*AO29</f>
        <v>0</v>
      </c>
      <c r="AX29" s="21">
        <f>F29*AP29</f>
        <v>0</v>
      </c>
      <c r="AY29" s="23" t="s">
        <v>56</v>
      </c>
      <c r="AZ29" s="23" t="s">
        <v>57</v>
      </c>
      <c r="BA29" s="10" t="s">
        <v>58</v>
      </c>
      <c r="BC29" s="21">
        <f>AW29+AX29</f>
        <v>0</v>
      </c>
      <c r="BD29" s="21">
        <f>G29/(100-BE29)*100</f>
        <v>0</v>
      </c>
      <c r="BE29" s="21">
        <v>0</v>
      </c>
      <c r="BF29" s="21">
        <f>L29</f>
        <v>35.775</v>
      </c>
      <c r="BH29" s="21">
        <f>F29*AO29</f>
        <v>0</v>
      </c>
      <c r="BI29" s="21">
        <f>F29*AP29</f>
        <v>0</v>
      </c>
      <c r="BJ29" s="21">
        <f>F29*G29</f>
        <v>0</v>
      </c>
      <c r="BK29" s="21" t="s">
        <v>59</v>
      </c>
      <c r="BL29" s="21">
        <v>11</v>
      </c>
    </row>
    <row r="30" spans="1:14" ht="15">
      <c r="A30" s="2"/>
      <c r="C30" s="24" t="s">
        <v>641</v>
      </c>
      <c r="D30" s="24" t="s">
        <v>642</v>
      </c>
      <c r="F30" s="25">
        <v>9</v>
      </c>
      <c r="M30" s="26"/>
      <c r="N30" s="2"/>
    </row>
    <row r="31" spans="1:14" ht="15">
      <c r="A31" s="2"/>
      <c r="C31" s="24" t="s">
        <v>643</v>
      </c>
      <c r="D31" s="24" t="s">
        <v>644</v>
      </c>
      <c r="F31" s="25">
        <v>150</v>
      </c>
      <c r="M31" s="26"/>
      <c r="N31" s="2"/>
    </row>
    <row r="32" spans="1:64" ht="15">
      <c r="A32" s="20" t="s">
        <v>94</v>
      </c>
      <c r="B32" s="3" t="s">
        <v>645</v>
      </c>
      <c r="C32" s="618" t="s">
        <v>646</v>
      </c>
      <c r="D32" s="608"/>
      <c r="E32" s="3" t="s">
        <v>54</v>
      </c>
      <c r="F32" s="21">
        <v>150</v>
      </c>
      <c r="G32" s="537"/>
      <c r="H32" s="21">
        <f>F32*AO32</f>
        <v>0</v>
      </c>
      <c r="I32" s="21">
        <f>F32*AP32</f>
        <v>0</v>
      </c>
      <c r="J32" s="21">
        <f>F32*G32</f>
        <v>0</v>
      </c>
      <c r="K32" s="21">
        <v>0.33</v>
      </c>
      <c r="L32" s="21">
        <f>F32*K32</f>
        <v>49.5</v>
      </c>
      <c r="M32" s="22" t="s">
        <v>55</v>
      </c>
      <c r="N32" s="2"/>
      <c r="Z32" s="21">
        <f>IF(AQ32="5",BJ32,0)</f>
        <v>0</v>
      </c>
      <c r="AB32" s="21">
        <f>IF(AQ32="1",BH32,0)</f>
        <v>0</v>
      </c>
      <c r="AC32" s="21">
        <f>IF(AQ32="1",BI32,0)</f>
        <v>0</v>
      </c>
      <c r="AD32" s="21">
        <f>IF(AQ32="7",BH32,0)</f>
        <v>0</v>
      </c>
      <c r="AE32" s="21">
        <f>IF(AQ32="7",BI32,0)</f>
        <v>0</v>
      </c>
      <c r="AF32" s="21">
        <f>IF(AQ32="2",BH32,0)</f>
        <v>0</v>
      </c>
      <c r="AG32" s="21">
        <f>IF(AQ32="2",BI32,0)</f>
        <v>0</v>
      </c>
      <c r="AH32" s="21">
        <f>IF(AQ32="0",BJ32,0)</f>
        <v>0</v>
      </c>
      <c r="AI32" s="10"/>
      <c r="AJ32" s="21">
        <f>IF(AN32=0,J32,0)</f>
        <v>0</v>
      </c>
      <c r="AK32" s="21">
        <f>IF(AN32=15,J32,0)</f>
        <v>0</v>
      </c>
      <c r="AL32" s="21">
        <f>IF(AN32=21,J32,0)</f>
        <v>0</v>
      </c>
      <c r="AN32" s="21">
        <v>21</v>
      </c>
      <c r="AO32" s="21">
        <f>G32*0</f>
        <v>0</v>
      </c>
      <c r="AP32" s="21">
        <f>G32*(1-0)</f>
        <v>0</v>
      </c>
      <c r="AQ32" s="23" t="s">
        <v>51</v>
      </c>
      <c r="AV32" s="21">
        <f>AW32+AX32</f>
        <v>0</v>
      </c>
      <c r="AW32" s="21">
        <f>F32*AO32</f>
        <v>0</v>
      </c>
      <c r="AX32" s="21">
        <f>F32*AP32</f>
        <v>0</v>
      </c>
      <c r="AY32" s="23" t="s">
        <v>56</v>
      </c>
      <c r="AZ32" s="23" t="s">
        <v>57</v>
      </c>
      <c r="BA32" s="10" t="s">
        <v>58</v>
      </c>
      <c r="BC32" s="21">
        <f>AW32+AX32</f>
        <v>0</v>
      </c>
      <c r="BD32" s="21">
        <f>G32/(100-BE32)*100</f>
        <v>0</v>
      </c>
      <c r="BE32" s="21">
        <v>0</v>
      </c>
      <c r="BF32" s="21">
        <f>L32</f>
        <v>49.5</v>
      </c>
      <c r="BH32" s="21">
        <f>F32*AO32</f>
        <v>0</v>
      </c>
      <c r="BI32" s="21">
        <f>F32*AP32</f>
        <v>0</v>
      </c>
      <c r="BJ32" s="21">
        <f>F32*G32</f>
        <v>0</v>
      </c>
      <c r="BK32" s="21" t="s">
        <v>59</v>
      </c>
      <c r="BL32" s="21">
        <v>11</v>
      </c>
    </row>
    <row r="33" spans="1:14" ht="15">
      <c r="A33" s="2"/>
      <c r="C33" s="24" t="s">
        <v>643</v>
      </c>
      <c r="D33" s="24"/>
      <c r="F33" s="25">
        <v>150</v>
      </c>
      <c r="M33" s="26"/>
      <c r="N33" s="2"/>
    </row>
    <row r="34" spans="1:14" ht="25.65" customHeight="1">
      <c r="A34" s="2"/>
      <c r="B34" s="27" t="s">
        <v>61</v>
      </c>
      <c r="C34" s="634" t="s">
        <v>62</v>
      </c>
      <c r="D34" s="635"/>
      <c r="E34" s="635"/>
      <c r="F34" s="635"/>
      <c r="G34" s="635"/>
      <c r="H34" s="635"/>
      <c r="I34" s="635"/>
      <c r="J34" s="635"/>
      <c r="K34" s="635"/>
      <c r="L34" s="635"/>
      <c r="M34" s="636"/>
      <c r="N34" s="2"/>
    </row>
    <row r="35" spans="1:64" ht="15">
      <c r="A35" s="20" t="s">
        <v>98</v>
      </c>
      <c r="B35" s="3" t="s">
        <v>72</v>
      </c>
      <c r="C35" s="618" t="s">
        <v>73</v>
      </c>
      <c r="D35" s="608"/>
      <c r="E35" s="3" t="s">
        <v>74</v>
      </c>
      <c r="F35" s="21">
        <v>130</v>
      </c>
      <c r="G35" s="537"/>
      <c r="H35" s="21">
        <f>F35*AO35</f>
        <v>0</v>
      </c>
      <c r="I35" s="21">
        <f>F35*AP35</f>
        <v>0</v>
      </c>
      <c r="J35" s="21">
        <f>F35*G35</f>
        <v>0</v>
      </c>
      <c r="K35" s="21">
        <v>0.27</v>
      </c>
      <c r="L35" s="21">
        <f>F35*K35</f>
        <v>35.1</v>
      </c>
      <c r="M35" s="22" t="s">
        <v>55</v>
      </c>
      <c r="N35" s="2"/>
      <c r="Z35" s="21">
        <f>IF(AQ35="5",BJ35,0)</f>
        <v>0</v>
      </c>
      <c r="AB35" s="21">
        <f>IF(AQ35="1",BH35,0)</f>
        <v>0</v>
      </c>
      <c r="AC35" s="21">
        <f>IF(AQ35="1",BI35,0)</f>
        <v>0</v>
      </c>
      <c r="AD35" s="21">
        <f>IF(AQ35="7",BH35,0)</f>
        <v>0</v>
      </c>
      <c r="AE35" s="21">
        <f>IF(AQ35="7",BI35,0)</f>
        <v>0</v>
      </c>
      <c r="AF35" s="21">
        <f>IF(AQ35="2",BH35,0)</f>
        <v>0</v>
      </c>
      <c r="AG35" s="21">
        <f>IF(AQ35="2",BI35,0)</f>
        <v>0</v>
      </c>
      <c r="AH35" s="21">
        <f>IF(AQ35="0",BJ35,0)</f>
        <v>0</v>
      </c>
      <c r="AI35" s="10"/>
      <c r="AJ35" s="21">
        <f>IF(AN35=0,J35,0)</f>
        <v>0</v>
      </c>
      <c r="AK35" s="21">
        <f>IF(AN35=15,J35,0)</f>
        <v>0</v>
      </c>
      <c r="AL35" s="21">
        <f>IF(AN35=21,J35,0)</f>
        <v>0</v>
      </c>
      <c r="AN35" s="21">
        <v>21</v>
      </c>
      <c r="AO35" s="21">
        <f>G35*0</f>
        <v>0</v>
      </c>
      <c r="AP35" s="21">
        <f>G35*(1-0)</f>
        <v>0</v>
      </c>
      <c r="AQ35" s="23" t="s">
        <v>51</v>
      </c>
      <c r="AV35" s="21">
        <f>AW35+AX35</f>
        <v>0</v>
      </c>
      <c r="AW35" s="21">
        <f>F35*AO35</f>
        <v>0</v>
      </c>
      <c r="AX35" s="21">
        <f>F35*AP35</f>
        <v>0</v>
      </c>
      <c r="AY35" s="23" t="s">
        <v>56</v>
      </c>
      <c r="AZ35" s="23" t="s">
        <v>57</v>
      </c>
      <c r="BA35" s="10" t="s">
        <v>58</v>
      </c>
      <c r="BC35" s="21">
        <f>AW35+AX35</f>
        <v>0</v>
      </c>
      <c r="BD35" s="21">
        <f>G35/(100-BE35)*100</f>
        <v>0</v>
      </c>
      <c r="BE35" s="21">
        <v>0</v>
      </c>
      <c r="BF35" s="21">
        <f>L35</f>
        <v>35.1</v>
      </c>
      <c r="BH35" s="21">
        <f>F35*AO35</f>
        <v>0</v>
      </c>
      <c r="BI35" s="21">
        <f>F35*AP35</f>
        <v>0</v>
      </c>
      <c r="BJ35" s="21">
        <f>F35*G35</f>
        <v>0</v>
      </c>
      <c r="BK35" s="21" t="s">
        <v>59</v>
      </c>
      <c r="BL35" s="21">
        <v>11</v>
      </c>
    </row>
    <row r="36" spans="1:14" ht="15">
      <c r="A36" s="2"/>
      <c r="C36" s="24" t="s">
        <v>647</v>
      </c>
      <c r="D36" s="24"/>
      <c r="F36" s="25">
        <v>130</v>
      </c>
      <c r="M36" s="26"/>
      <c r="N36" s="2"/>
    </row>
    <row r="37" spans="1:64" ht="15">
      <c r="A37" s="20" t="s">
        <v>104</v>
      </c>
      <c r="B37" s="3" t="s">
        <v>648</v>
      </c>
      <c r="C37" s="618" t="s">
        <v>649</v>
      </c>
      <c r="D37" s="608"/>
      <c r="E37" s="3" t="s">
        <v>54</v>
      </c>
      <c r="F37" s="21">
        <v>37.5</v>
      </c>
      <c r="G37" s="537"/>
      <c r="H37" s="21">
        <f>F37*AO37</f>
        <v>0</v>
      </c>
      <c r="I37" s="21">
        <f>F37*AP37</f>
        <v>0</v>
      </c>
      <c r="J37" s="21">
        <f>F37*G37</f>
        <v>0</v>
      </c>
      <c r="K37" s="21">
        <v>0</v>
      </c>
      <c r="L37" s="21">
        <f>F37*K37</f>
        <v>0</v>
      </c>
      <c r="M37" s="539" t="s">
        <v>2130</v>
      </c>
      <c r="N37" s="2"/>
      <c r="Z37" s="21">
        <f>IF(AQ37="5",BJ37,0)</f>
        <v>0</v>
      </c>
      <c r="AB37" s="21">
        <f>IF(AQ37="1",BH37,0)</f>
        <v>0</v>
      </c>
      <c r="AC37" s="21">
        <f>IF(AQ37="1",BI37,0)</f>
        <v>0</v>
      </c>
      <c r="AD37" s="21">
        <f>IF(AQ37="7",BH37,0)</f>
        <v>0</v>
      </c>
      <c r="AE37" s="21">
        <f>IF(AQ37="7",BI37,0)</f>
        <v>0</v>
      </c>
      <c r="AF37" s="21">
        <f>IF(AQ37="2",BH37,0)</f>
        <v>0</v>
      </c>
      <c r="AG37" s="21">
        <f>IF(AQ37="2",BI37,0)</f>
        <v>0</v>
      </c>
      <c r="AH37" s="21">
        <f>IF(AQ37="0",BJ37,0)</f>
        <v>0</v>
      </c>
      <c r="AI37" s="10"/>
      <c r="AJ37" s="21">
        <f>IF(AN37=0,J37,0)</f>
        <v>0</v>
      </c>
      <c r="AK37" s="21">
        <f>IF(AN37=15,J37,0)</f>
        <v>0</v>
      </c>
      <c r="AL37" s="21">
        <f>IF(AN37=21,J37,0)</f>
        <v>0</v>
      </c>
      <c r="AN37" s="21">
        <v>21</v>
      </c>
      <c r="AO37" s="21">
        <f>G37*0</f>
        <v>0</v>
      </c>
      <c r="AP37" s="21">
        <f>G37*(1-0)</f>
        <v>0</v>
      </c>
      <c r="AQ37" s="23" t="s">
        <v>51</v>
      </c>
      <c r="AV37" s="21">
        <f>AW37+AX37</f>
        <v>0</v>
      </c>
      <c r="AW37" s="21">
        <f>F37*AO37</f>
        <v>0</v>
      </c>
      <c r="AX37" s="21">
        <f>F37*AP37</f>
        <v>0</v>
      </c>
      <c r="AY37" s="23" t="s">
        <v>56</v>
      </c>
      <c r="AZ37" s="23" t="s">
        <v>57</v>
      </c>
      <c r="BA37" s="10" t="s">
        <v>58</v>
      </c>
      <c r="BC37" s="21">
        <f>AW37+AX37</f>
        <v>0</v>
      </c>
      <c r="BD37" s="21">
        <f>G37/(100-BE37)*100</f>
        <v>0</v>
      </c>
      <c r="BE37" s="21">
        <v>0</v>
      </c>
      <c r="BF37" s="21">
        <f>L37</f>
        <v>0</v>
      </c>
      <c r="BH37" s="21">
        <f>F37*AO37</f>
        <v>0</v>
      </c>
      <c r="BI37" s="21">
        <f>F37*AP37</f>
        <v>0</v>
      </c>
      <c r="BJ37" s="21">
        <f>F37*G37</f>
        <v>0</v>
      </c>
      <c r="BK37" s="21" t="s">
        <v>59</v>
      </c>
      <c r="BL37" s="21">
        <v>11</v>
      </c>
    </row>
    <row r="38" spans="1:14" ht="15">
      <c r="A38" s="2"/>
      <c r="C38" s="24" t="s">
        <v>650</v>
      </c>
      <c r="D38" s="24"/>
      <c r="F38" s="25">
        <v>37.5</v>
      </c>
      <c r="M38" s="26"/>
      <c r="N38" s="2"/>
    </row>
    <row r="39" spans="1:64" ht="15">
      <c r="A39" s="20" t="s">
        <v>49</v>
      </c>
      <c r="B39" s="3" t="s">
        <v>651</v>
      </c>
      <c r="C39" s="618" t="s">
        <v>652</v>
      </c>
      <c r="D39" s="608"/>
      <c r="E39" s="3" t="s">
        <v>54</v>
      </c>
      <c r="F39" s="21">
        <v>3.9</v>
      </c>
      <c r="G39" s="537"/>
      <c r="H39" s="21">
        <f>F39*AO39</f>
        <v>0</v>
      </c>
      <c r="I39" s="21">
        <f>F39*AP39</f>
        <v>0</v>
      </c>
      <c r="J39" s="21">
        <f>F39*G39</f>
        <v>0</v>
      </c>
      <c r="K39" s="21">
        <v>0</v>
      </c>
      <c r="L39" s="21">
        <f>F39*K39</f>
        <v>0</v>
      </c>
      <c r="M39" s="539" t="s">
        <v>2130</v>
      </c>
      <c r="N39" s="2"/>
      <c r="Z39" s="21">
        <f>IF(AQ39="5",BJ39,0)</f>
        <v>0</v>
      </c>
      <c r="AB39" s="21">
        <f>IF(AQ39="1",BH39,0)</f>
        <v>0</v>
      </c>
      <c r="AC39" s="21">
        <f>IF(AQ39="1",BI39,0)</f>
        <v>0</v>
      </c>
      <c r="AD39" s="21">
        <f>IF(AQ39="7",BH39,0)</f>
        <v>0</v>
      </c>
      <c r="AE39" s="21">
        <f>IF(AQ39="7",BI39,0)</f>
        <v>0</v>
      </c>
      <c r="AF39" s="21">
        <f>IF(AQ39="2",BH39,0)</f>
        <v>0</v>
      </c>
      <c r="AG39" s="21">
        <f>IF(AQ39="2",BI39,0)</f>
        <v>0</v>
      </c>
      <c r="AH39" s="21">
        <f>IF(AQ39="0",BJ39,0)</f>
        <v>0</v>
      </c>
      <c r="AI39" s="10"/>
      <c r="AJ39" s="21">
        <f>IF(AN39=0,J39,0)</f>
        <v>0</v>
      </c>
      <c r="AK39" s="21">
        <f>IF(AN39=15,J39,0)</f>
        <v>0</v>
      </c>
      <c r="AL39" s="21">
        <f>IF(AN39=21,J39,0)</f>
        <v>0</v>
      </c>
      <c r="AN39" s="21">
        <v>21</v>
      </c>
      <c r="AO39" s="21">
        <f>G39*0</f>
        <v>0</v>
      </c>
      <c r="AP39" s="21">
        <f>G39*(1-0)</f>
        <v>0</v>
      </c>
      <c r="AQ39" s="23" t="s">
        <v>51</v>
      </c>
      <c r="AV39" s="21">
        <f>AW39+AX39</f>
        <v>0</v>
      </c>
      <c r="AW39" s="21">
        <f>F39*AO39</f>
        <v>0</v>
      </c>
      <c r="AX39" s="21">
        <f>F39*AP39</f>
        <v>0</v>
      </c>
      <c r="AY39" s="23" t="s">
        <v>56</v>
      </c>
      <c r="AZ39" s="23" t="s">
        <v>57</v>
      </c>
      <c r="BA39" s="10" t="s">
        <v>58</v>
      </c>
      <c r="BC39" s="21">
        <f>AW39+AX39</f>
        <v>0</v>
      </c>
      <c r="BD39" s="21">
        <f>G39/(100-BE39)*100</f>
        <v>0</v>
      </c>
      <c r="BE39" s="21">
        <v>0</v>
      </c>
      <c r="BF39" s="21">
        <f>L39</f>
        <v>0</v>
      </c>
      <c r="BH39" s="21">
        <f>F39*AO39</f>
        <v>0</v>
      </c>
      <c r="BI39" s="21">
        <f>F39*AP39</f>
        <v>0</v>
      </c>
      <c r="BJ39" s="21">
        <f>F39*G39</f>
        <v>0</v>
      </c>
      <c r="BK39" s="21" t="s">
        <v>59</v>
      </c>
      <c r="BL39" s="21">
        <v>11</v>
      </c>
    </row>
    <row r="40" spans="1:14" ht="15">
      <c r="A40" s="2"/>
      <c r="C40" s="24" t="s">
        <v>653</v>
      </c>
      <c r="D40" s="24"/>
      <c r="F40" s="25">
        <v>3.9</v>
      </c>
      <c r="M40" s="26"/>
      <c r="N40" s="2"/>
    </row>
    <row r="41" spans="1:47" ht="15">
      <c r="A41" s="41"/>
      <c r="B41" s="42" t="s">
        <v>76</v>
      </c>
      <c r="C41" s="637" t="s">
        <v>77</v>
      </c>
      <c r="D41" s="638"/>
      <c r="E41" s="43" t="s">
        <v>4</v>
      </c>
      <c r="F41" s="43" t="s">
        <v>4</v>
      </c>
      <c r="G41" s="43" t="s">
        <v>4</v>
      </c>
      <c r="H41" s="44">
        <f>SUM(H42:H47)</f>
        <v>0</v>
      </c>
      <c r="I41" s="44">
        <f>SUM(I42:I47)</f>
        <v>0</v>
      </c>
      <c r="J41" s="44">
        <f>SUM(J42:J47)</f>
        <v>0</v>
      </c>
      <c r="K41" s="45"/>
      <c r="L41" s="44">
        <f>SUM(L42:L47)</f>
        <v>0</v>
      </c>
      <c r="M41" s="46"/>
      <c r="N41" s="2"/>
      <c r="AI41" s="10"/>
      <c r="AS41" s="19">
        <f>SUM(AJ42:AJ47)</f>
        <v>0</v>
      </c>
      <c r="AT41" s="19">
        <f>SUM(AK42:AK47)</f>
        <v>0</v>
      </c>
      <c r="AU41" s="19">
        <f>SUM(AL42:AL47)</f>
        <v>0</v>
      </c>
    </row>
    <row r="42" spans="1:64" ht="15">
      <c r="A42" s="20" t="s">
        <v>76</v>
      </c>
      <c r="B42" s="3" t="s">
        <v>79</v>
      </c>
      <c r="C42" s="618" t="s">
        <v>80</v>
      </c>
      <c r="D42" s="608"/>
      <c r="E42" s="3" t="s">
        <v>81</v>
      </c>
      <c r="F42" s="21">
        <v>112.3</v>
      </c>
      <c r="G42" s="537"/>
      <c r="H42" s="21">
        <f>F42*AO42</f>
        <v>0</v>
      </c>
      <c r="I42" s="21">
        <f>F42*AP42</f>
        <v>0</v>
      </c>
      <c r="J42" s="21">
        <f>F42*G42</f>
        <v>0</v>
      </c>
      <c r="K42" s="21">
        <v>0</v>
      </c>
      <c r="L42" s="21">
        <f>F42*K42</f>
        <v>0</v>
      </c>
      <c r="M42" s="22" t="s">
        <v>55</v>
      </c>
      <c r="N42" s="2"/>
      <c r="Z42" s="21">
        <f>IF(AQ42="5",BJ42,0)</f>
        <v>0</v>
      </c>
      <c r="AB42" s="21">
        <f>IF(AQ42="1",BH42,0)</f>
        <v>0</v>
      </c>
      <c r="AC42" s="21">
        <f>IF(AQ42="1",BI42,0)</f>
        <v>0</v>
      </c>
      <c r="AD42" s="21">
        <f>IF(AQ42="7",BH42,0)</f>
        <v>0</v>
      </c>
      <c r="AE42" s="21">
        <f>IF(AQ42="7",BI42,0)</f>
        <v>0</v>
      </c>
      <c r="AF42" s="21">
        <f>IF(AQ42="2",BH42,0)</f>
        <v>0</v>
      </c>
      <c r="AG42" s="21">
        <f>IF(AQ42="2",BI42,0)</f>
        <v>0</v>
      </c>
      <c r="AH42" s="21">
        <f>IF(AQ42="0",BJ42,0)</f>
        <v>0</v>
      </c>
      <c r="AI42" s="10"/>
      <c r="AJ42" s="21">
        <f>IF(AN42=0,J42,0)</f>
        <v>0</v>
      </c>
      <c r="AK42" s="21">
        <f>IF(AN42=15,J42,0)</f>
        <v>0</v>
      </c>
      <c r="AL42" s="21">
        <f>IF(AN42=21,J42,0)</f>
        <v>0</v>
      </c>
      <c r="AN42" s="21">
        <v>21</v>
      </c>
      <c r="AO42" s="21">
        <f>G42*0</f>
        <v>0</v>
      </c>
      <c r="AP42" s="21">
        <f>G42*(1-0)</f>
        <v>0</v>
      </c>
      <c r="AQ42" s="23" t="s">
        <v>51</v>
      </c>
      <c r="AV42" s="21">
        <f>AW42+AX42</f>
        <v>0</v>
      </c>
      <c r="AW42" s="21">
        <f>F42*AO42</f>
        <v>0</v>
      </c>
      <c r="AX42" s="21">
        <f>F42*AP42</f>
        <v>0</v>
      </c>
      <c r="AY42" s="23" t="s">
        <v>82</v>
      </c>
      <c r="AZ42" s="23" t="s">
        <v>57</v>
      </c>
      <c r="BA42" s="10" t="s">
        <v>58</v>
      </c>
      <c r="BC42" s="21">
        <f>AW42+AX42</f>
        <v>0</v>
      </c>
      <c r="BD42" s="21">
        <f>G42/(100-BE42)*100</f>
        <v>0</v>
      </c>
      <c r="BE42" s="21">
        <v>0</v>
      </c>
      <c r="BF42" s="21">
        <f>L42</f>
        <v>0</v>
      </c>
      <c r="BH42" s="21">
        <f>F42*AO42</f>
        <v>0</v>
      </c>
      <c r="BI42" s="21">
        <f>F42*AP42</f>
        <v>0</v>
      </c>
      <c r="BJ42" s="21">
        <f>F42*G42</f>
        <v>0</v>
      </c>
      <c r="BK42" s="21" t="s">
        <v>59</v>
      </c>
      <c r="BL42" s="21">
        <v>12</v>
      </c>
    </row>
    <row r="43" spans="1:14" ht="15">
      <c r="A43" s="2"/>
      <c r="C43" s="24" t="s">
        <v>654</v>
      </c>
      <c r="D43" s="24"/>
      <c r="F43" s="25">
        <v>112.3</v>
      </c>
      <c r="M43" s="26"/>
      <c r="N43" s="2"/>
    </row>
    <row r="44" spans="1:14" ht="15">
      <c r="A44" s="2"/>
      <c r="B44" s="27" t="s">
        <v>61</v>
      </c>
      <c r="C44" s="634" t="s">
        <v>84</v>
      </c>
      <c r="D44" s="635"/>
      <c r="E44" s="635"/>
      <c r="F44" s="635"/>
      <c r="G44" s="635"/>
      <c r="H44" s="635"/>
      <c r="I44" s="635"/>
      <c r="J44" s="635"/>
      <c r="K44" s="635"/>
      <c r="L44" s="635"/>
      <c r="M44" s="636"/>
      <c r="N44" s="2"/>
    </row>
    <row r="45" spans="1:64" ht="15">
      <c r="A45" s="20" t="s">
        <v>75</v>
      </c>
      <c r="B45" s="3" t="s">
        <v>86</v>
      </c>
      <c r="C45" s="618" t="s">
        <v>87</v>
      </c>
      <c r="D45" s="608"/>
      <c r="E45" s="3" t="s">
        <v>81</v>
      </c>
      <c r="F45" s="21">
        <v>25</v>
      </c>
      <c r="G45" s="537"/>
      <c r="H45" s="21">
        <f>F45*AO45</f>
        <v>0</v>
      </c>
      <c r="I45" s="21">
        <f>F45*AP45</f>
        <v>0</v>
      </c>
      <c r="J45" s="21">
        <f>F45*G45</f>
        <v>0</v>
      </c>
      <c r="K45" s="21">
        <v>0</v>
      </c>
      <c r="L45" s="21">
        <f>F45*K45</f>
        <v>0</v>
      </c>
      <c r="M45" s="22" t="s">
        <v>55</v>
      </c>
      <c r="N45" s="2"/>
      <c r="Z45" s="21">
        <f>IF(AQ45="5",BJ45,0)</f>
        <v>0</v>
      </c>
      <c r="AB45" s="21">
        <f>IF(AQ45="1",BH45,0)</f>
        <v>0</v>
      </c>
      <c r="AC45" s="21">
        <f>IF(AQ45="1",BI45,0)</f>
        <v>0</v>
      </c>
      <c r="AD45" s="21">
        <f>IF(AQ45="7",BH45,0)</f>
        <v>0</v>
      </c>
      <c r="AE45" s="21">
        <f>IF(AQ45="7",BI45,0)</f>
        <v>0</v>
      </c>
      <c r="AF45" s="21">
        <f>IF(AQ45="2",BH45,0)</f>
        <v>0</v>
      </c>
      <c r="AG45" s="21">
        <f>IF(AQ45="2",BI45,0)</f>
        <v>0</v>
      </c>
      <c r="AH45" s="21">
        <f>IF(AQ45="0",BJ45,0)</f>
        <v>0</v>
      </c>
      <c r="AI45" s="10"/>
      <c r="AJ45" s="21">
        <f>IF(AN45=0,J45,0)</f>
        <v>0</v>
      </c>
      <c r="AK45" s="21">
        <f>IF(AN45=15,J45,0)</f>
        <v>0</v>
      </c>
      <c r="AL45" s="21">
        <f>IF(AN45=21,J45,0)</f>
        <v>0</v>
      </c>
      <c r="AN45" s="21">
        <v>21</v>
      </c>
      <c r="AO45" s="21">
        <f>G45*0</f>
        <v>0</v>
      </c>
      <c r="AP45" s="21">
        <f>G45*(1-0)</f>
        <v>0</v>
      </c>
      <c r="AQ45" s="23" t="s">
        <v>51</v>
      </c>
      <c r="AV45" s="21">
        <f>AW45+AX45</f>
        <v>0</v>
      </c>
      <c r="AW45" s="21">
        <f>F45*AO45</f>
        <v>0</v>
      </c>
      <c r="AX45" s="21">
        <f>F45*AP45</f>
        <v>0</v>
      </c>
      <c r="AY45" s="23" t="s">
        <v>82</v>
      </c>
      <c r="AZ45" s="23" t="s">
        <v>57</v>
      </c>
      <c r="BA45" s="10" t="s">
        <v>58</v>
      </c>
      <c r="BC45" s="21">
        <f>AW45+AX45</f>
        <v>0</v>
      </c>
      <c r="BD45" s="21">
        <f>G45/(100-BE45)*100</f>
        <v>0</v>
      </c>
      <c r="BE45" s="21">
        <v>0</v>
      </c>
      <c r="BF45" s="21">
        <f>L45</f>
        <v>0</v>
      </c>
      <c r="BH45" s="21">
        <f>F45*AO45</f>
        <v>0</v>
      </c>
      <c r="BI45" s="21">
        <f>F45*AP45</f>
        <v>0</v>
      </c>
      <c r="BJ45" s="21">
        <f>F45*G45</f>
        <v>0</v>
      </c>
      <c r="BK45" s="21" t="s">
        <v>59</v>
      </c>
      <c r="BL45" s="21">
        <v>12</v>
      </c>
    </row>
    <row r="46" spans="1:14" ht="15">
      <c r="A46" s="2"/>
      <c r="C46" s="24" t="s">
        <v>177</v>
      </c>
      <c r="D46" s="24"/>
      <c r="F46" s="25">
        <v>25</v>
      </c>
      <c r="M46" s="26"/>
      <c r="N46" s="2"/>
    </row>
    <row r="47" spans="1:64" ht="15">
      <c r="A47" s="20" t="s">
        <v>128</v>
      </c>
      <c r="B47" s="3" t="s">
        <v>447</v>
      </c>
      <c r="C47" s="618" t="s">
        <v>448</v>
      </c>
      <c r="D47" s="608"/>
      <c r="E47" s="3" t="s">
        <v>81</v>
      </c>
      <c r="F47" s="21">
        <v>5</v>
      </c>
      <c r="G47" s="537"/>
      <c r="H47" s="21">
        <f>F47*AO47</f>
        <v>0</v>
      </c>
      <c r="I47" s="21">
        <f>F47*AP47</f>
        <v>0</v>
      </c>
      <c r="J47" s="21">
        <f>F47*G47</f>
        <v>0</v>
      </c>
      <c r="K47" s="21">
        <v>0</v>
      </c>
      <c r="L47" s="21">
        <f>F47*K47</f>
        <v>0</v>
      </c>
      <c r="M47" s="22" t="s">
        <v>55</v>
      </c>
      <c r="N47" s="2"/>
      <c r="Z47" s="21">
        <f>IF(AQ47="5",BJ47,0)</f>
        <v>0</v>
      </c>
      <c r="AB47" s="21">
        <f>IF(AQ47="1",BH47,0)</f>
        <v>0</v>
      </c>
      <c r="AC47" s="21">
        <f>IF(AQ47="1",BI47,0)</f>
        <v>0</v>
      </c>
      <c r="AD47" s="21">
        <f>IF(AQ47="7",BH47,0)</f>
        <v>0</v>
      </c>
      <c r="AE47" s="21">
        <f>IF(AQ47="7",BI47,0)</f>
        <v>0</v>
      </c>
      <c r="AF47" s="21">
        <f>IF(AQ47="2",BH47,0)</f>
        <v>0</v>
      </c>
      <c r="AG47" s="21">
        <f>IF(AQ47="2",BI47,0)</f>
        <v>0</v>
      </c>
      <c r="AH47" s="21">
        <f>IF(AQ47="0",BJ47,0)</f>
        <v>0</v>
      </c>
      <c r="AI47" s="10"/>
      <c r="AJ47" s="21">
        <f>IF(AN47=0,J47,0)</f>
        <v>0</v>
      </c>
      <c r="AK47" s="21">
        <f>IF(AN47=15,J47,0)</f>
        <v>0</v>
      </c>
      <c r="AL47" s="21">
        <f>IF(AN47=21,J47,0)</f>
        <v>0</v>
      </c>
      <c r="AN47" s="21">
        <v>21</v>
      </c>
      <c r="AO47" s="21">
        <f>G47*0</f>
        <v>0</v>
      </c>
      <c r="AP47" s="21">
        <f>G47*(1-0)</f>
        <v>0</v>
      </c>
      <c r="AQ47" s="23" t="s">
        <v>51</v>
      </c>
      <c r="AV47" s="21">
        <f>AW47+AX47</f>
        <v>0</v>
      </c>
      <c r="AW47" s="21">
        <f>F47*AO47</f>
        <v>0</v>
      </c>
      <c r="AX47" s="21">
        <f>F47*AP47</f>
        <v>0</v>
      </c>
      <c r="AY47" s="23" t="s">
        <v>82</v>
      </c>
      <c r="AZ47" s="23" t="s">
        <v>57</v>
      </c>
      <c r="BA47" s="10" t="s">
        <v>58</v>
      </c>
      <c r="BC47" s="21">
        <f>AW47+AX47</f>
        <v>0</v>
      </c>
      <c r="BD47" s="21">
        <f>G47/(100-BE47)*100</f>
        <v>0</v>
      </c>
      <c r="BE47" s="21">
        <v>0</v>
      </c>
      <c r="BF47" s="21">
        <f>L47</f>
        <v>0</v>
      </c>
      <c r="BH47" s="21">
        <f>F47*AO47</f>
        <v>0</v>
      </c>
      <c r="BI47" s="21">
        <f>F47*AP47</f>
        <v>0</v>
      </c>
      <c r="BJ47" s="21">
        <f>F47*G47</f>
        <v>0</v>
      </c>
      <c r="BK47" s="21" t="s">
        <v>59</v>
      </c>
      <c r="BL47" s="21">
        <v>12</v>
      </c>
    </row>
    <row r="48" spans="1:14" ht="15">
      <c r="A48" s="2"/>
      <c r="C48" s="24" t="s">
        <v>78</v>
      </c>
      <c r="D48" s="24" t="s">
        <v>449</v>
      </c>
      <c r="F48" s="25">
        <v>5</v>
      </c>
      <c r="M48" s="26"/>
      <c r="N48" s="2"/>
    </row>
    <row r="49" spans="1:14" ht="15">
      <c r="A49" s="2"/>
      <c r="B49" s="27" t="s">
        <v>61</v>
      </c>
      <c r="C49" s="634" t="s">
        <v>450</v>
      </c>
      <c r="D49" s="635"/>
      <c r="E49" s="635"/>
      <c r="F49" s="635"/>
      <c r="G49" s="635"/>
      <c r="H49" s="635"/>
      <c r="I49" s="635"/>
      <c r="J49" s="635"/>
      <c r="K49" s="635"/>
      <c r="L49" s="635"/>
      <c r="M49" s="636"/>
      <c r="N49" s="2"/>
    </row>
    <row r="50" spans="1:47" ht="15">
      <c r="A50" s="41"/>
      <c r="B50" s="42" t="s">
        <v>92</v>
      </c>
      <c r="C50" s="637" t="s">
        <v>93</v>
      </c>
      <c r="D50" s="638"/>
      <c r="E50" s="43" t="s">
        <v>4</v>
      </c>
      <c r="F50" s="43" t="s">
        <v>4</v>
      </c>
      <c r="G50" s="43" t="s">
        <v>4</v>
      </c>
      <c r="H50" s="44">
        <f>SUM(H51:H51)</f>
        <v>0</v>
      </c>
      <c r="I50" s="44">
        <f>SUM(I51:I51)</f>
        <v>0</v>
      </c>
      <c r="J50" s="44">
        <f>SUM(J51:J51)</f>
        <v>0</v>
      </c>
      <c r="K50" s="45"/>
      <c r="L50" s="44">
        <f>SUM(L51:L51)</f>
        <v>0</v>
      </c>
      <c r="M50" s="46"/>
      <c r="N50" s="2"/>
      <c r="AI50" s="10"/>
      <c r="AS50" s="19">
        <f>SUM(AJ51:AJ51)</f>
        <v>0</v>
      </c>
      <c r="AT50" s="19">
        <f>SUM(AK51:AK51)</f>
        <v>0</v>
      </c>
      <c r="AU50" s="19">
        <f>SUM(AL51:AL51)</f>
        <v>0</v>
      </c>
    </row>
    <row r="51" spans="1:64" ht="15">
      <c r="A51" s="20" t="s">
        <v>66</v>
      </c>
      <c r="B51" s="3" t="s">
        <v>95</v>
      </c>
      <c r="C51" s="618" t="s">
        <v>96</v>
      </c>
      <c r="D51" s="608"/>
      <c r="E51" s="3" t="s">
        <v>81</v>
      </c>
      <c r="F51" s="21">
        <v>112.3</v>
      </c>
      <c r="G51" s="537"/>
      <c r="H51" s="21">
        <f>F51*AO51</f>
        <v>0</v>
      </c>
      <c r="I51" s="21">
        <f>F51*AP51</f>
        <v>0</v>
      </c>
      <c r="J51" s="21">
        <f>F51*G51</f>
        <v>0</v>
      </c>
      <c r="K51" s="21">
        <v>0</v>
      </c>
      <c r="L51" s="21">
        <f>F51*K51</f>
        <v>0</v>
      </c>
      <c r="M51" s="22" t="s">
        <v>55</v>
      </c>
      <c r="N51" s="2"/>
      <c r="Z51" s="21">
        <f>IF(AQ51="5",BJ51,0)</f>
        <v>0</v>
      </c>
      <c r="AB51" s="21">
        <f>IF(AQ51="1",BH51,0)</f>
        <v>0</v>
      </c>
      <c r="AC51" s="21">
        <f>IF(AQ51="1",BI51,0)</f>
        <v>0</v>
      </c>
      <c r="AD51" s="21">
        <f>IF(AQ51="7",BH51,0)</f>
        <v>0</v>
      </c>
      <c r="AE51" s="21">
        <f>IF(AQ51="7",BI51,0)</f>
        <v>0</v>
      </c>
      <c r="AF51" s="21">
        <f>IF(AQ51="2",BH51,0)</f>
        <v>0</v>
      </c>
      <c r="AG51" s="21">
        <f>IF(AQ51="2",BI51,0)</f>
        <v>0</v>
      </c>
      <c r="AH51" s="21">
        <f>IF(AQ51="0",BJ51,0)</f>
        <v>0</v>
      </c>
      <c r="AI51" s="10"/>
      <c r="AJ51" s="21">
        <f>IF(AN51=0,J51,0)</f>
        <v>0</v>
      </c>
      <c r="AK51" s="21">
        <f>IF(AN51=15,J51,0)</f>
        <v>0</v>
      </c>
      <c r="AL51" s="21">
        <f>IF(AN51=21,J51,0)</f>
        <v>0</v>
      </c>
      <c r="AN51" s="21">
        <v>21</v>
      </c>
      <c r="AO51" s="21">
        <f>G51*0</f>
        <v>0</v>
      </c>
      <c r="AP51" s="21">
        <f>G51*(1-0)</f>
        <v>0</v>
      </c>
      <c r="AQ51" s="23" t="s">
        <v>51</v>
      </c>
      <c r="AV51" s="21">
        <f>AW51+AX51</f>
        <v>0</v>
      </c>
      <c r="AW51" s="21">
        <f>F51*AO51</f>
        <v>0</v>
      </c>
      <c r="AX51" s="21">
        <f>F51*AP51</f>
        <v>0</v>
      </c>
      <c r="AY51" s="23" t="s">
        <v>97</v>
      </c>
      <c r="AZ51" s="23" t="s">
        <v>57</v>
      </c>
      <c r="BA51" s="10" t="s">
        <v>58</v>
      </c>
      <c r="BC51" s="21">
        <f>AW51+AX51</f>
        <v>0</v>
      </c>
      <c r="BD51" s="21">
        <f>G51/(100-BE51)*100</f>
        <v>0</v>
      </c>
      <c r="BE51" s="21">
        <v>0</v>
      </c>
      <c r="BF51" s="21">
        <f>L51</f>
        <v>0</v>
      </c>
      <c r="BH51" s="21">
        <f>F51*AO51</f>
        <v>0</v>
      </c>
      <c r="BI51" s="21">
        <f>F51*AP51</f>
        <v>0</v>
      </c>
      <c r="BJ51" s="21">
        <f>F51*G51</f>
        <v>0</v>
      </c>
      <c r="BK51" s="21" t="s">
        <v>59</v>
      </c>
      <c r="BL51" s="21">
        <v>16</v>
      </c>
    </row>
    <row r="52" spans="1:14" ht="15">
      <c r="A52" s="2"/>
      <c r="C52" s="24" t="s">
        <v>655</v>
      </c>
      <c r="D52" s="24"/>
      <c r="F52" s="25">
        <v>112.3</v>
      </c>
      <c r="M52" s="26"/>
      <c r="N52" s="2"/>
    </row>
    <row r="53" spans="1:47" ht="15">
      <c r="A53" s="41"/>
      <c r="B53" s="42" t="s">
        <v>102</v>
      </c>
      <c r="C53" s="637" t="s">
        <v>103</v>
      </c>
      <c r="D53" s="638"/>
      <c r="E53" s="43" t="s">
        <v>4</v>
      </c>
      <c r="F53" s="43" t="s">
        <v>4</v>
      </c>
      <c r="G53" s="43" t="s">
        <v>4</v>
      </c>
      <c r="H53" s="44">
        <f>SUM(H54:H57)</f>
        <v>0</v>
      </c>
      <c r="I53" s="44">
        <f>SUM(I54:I57)</f>
        <v>0</v>
      </c>
      <c r="J53" s="44">
        <f>SUM(J54:J57)</f>
        <v>0</v>
      </c>
      <c r="K53" s="45"/>
      <c r="L53" s="44">
        <f>SUM(L54:L57)</f>
        <v>0</v>
      </c>
      <c r="M53" s="46"/>
      <c r="N53" s="2"/>
      <c r="AI53" s="10"/>
      <c r="AS53" s="19">
        <f>SUM(AJ54:AJ57)</f>
        <v>0</v>
      </c>
      <c r="AT53" s="19">
        <f>SUM(AK54:AK57)</f>
        <v>0</v>
      </c>
      <c r="AU53" s="19">
        <f>SUM(AL54:AL57)</f>
        <v>0</v>
      </c>
    </row>
    <row r="54" spans="1:64" ht="15">
      <c r="A54" s="20" t="s">
        <v>92</v>
      </c>
      <c r="B54" s="3" t="s">
        <v>105</v>
      </c>
      <c r="C54" s="618" t="s">
        <v>106</v>
      </c>
      <c r="D54" s="608"/>
      <c r="E54" s="3" t="s">
        <v>81</v>
      </c>
      <c r="F54" s="21">
        <v>85</v>
      </c>
      <c r="G54" s="537"/>
      <c r="H54" s="21">
        <f>F54*AO54</f>
        <v>0</v>
      </c>
      <c r="I54" s="21">
        <f>F54*AP54</f>
        <v>0</v>
      </c>
      <c r="J54" s="21">
        <f>F54*G54</f>
        <v>0</v>
      </c>
      <c r="K54" s="21">
        <v>0</v>
      </c>
      <c r="L54" s="21">
        <f>F54*K54</f>
        <v>0</v>
      </c>
      <c r="M54" s="22" t="s">
        <v>55</v>
      </c>
      <c r="N54" s="2"/>
      <c r="Z54" s="21">
        <f>IF(AQ54="5",BJ54,0)</f>
        <v>0</v>
      </c>
      <c r="AB54" s="21">
        <f>IF(AQ54="1",BH54,0)</f>
        <v>0</v>
      </c>
      <c r="AC54" s="21">
        <f>IF(AQ54="1",BI54,0)</f>
        <v>0</v>
      </c>
      <c r="AD54" s="21">
        <f>IF(AQ54="7",BH54,0)</f>
        <v>0</v>
      </c>
      <c r="AE54" s="21">
        <f>IF(AQ54="7",BI54,0)</f>
        <v>0</v>
      </c>
      <c r="AF54" s="21">
        <f>IF(AQ54="2",BH54,0)</f>
        <v>0</v>
      </c>
      <c r="AG54" s="21">
        <f>IF(AQ54="2",BI54,0)</f>
        <v>0</v>
      </c>
      <c r="AH54" s="21">
        <f>IF(AQ54="0",BJ54,0)</f>
        <v>0</v>
      </c>
      <c r="AI54" s="10"/>
      <c r="AJ54" s="21">
        <f>IF(AN54=0,J54,0)</f>
        <v>0</v>
      </c>
      <c r="AK54" s="21">
        <f>IF(AN54=15,J54,0)</f>
        <v>0</v>
      </c>
      <c r="AL54" s="21">
        <f>IF(AN54=21,J54,0)</f>
        <v>0</v>
      </c>
      <c r="AN54" s="21">
        <v>21</v>
      </c>
      <c r="AO54" s="21">
        <f>G54*0</f>
        <v>0</v>
      </c>
      <c r="AP54" s="21">
        <f>G54*(1-0)</f>
        <v>0</v>
      </c>
      <c r="AQ54" s="23" t="s">
        <v>51</v>
      </c>
      <c r="AV54" s="21">
        <f>AW54+AX54</f>
        <v>0</v>
      </c>
      <c r="AW54" s="21">
        <f>F54*AO54</f>
        <v>0</v>
      </c>
      <c r="AX54" s="21">
        <f>F54*AP54</f>
        <v>0</v>
      </c>
      <c r="AY54" s="23" t="s">
        <v>107</v>
      </c>
      <c r="AZ54" s="23" t="s">
        <v>57</v>
      </c>
      <c r="BA54" s="10" t="s">
        <v>58</v>
      </c>
      <c r="BC54" s="21">
        <f>AW54+AX54</f>
        <v>0</v>
      </c>
      <c r="BD54" s="21">
        <f>G54/(100-BE54)*100</f>
        <v>0</v>
      </c>
      <c r="BE54" s="21">
        <v>0</v>
      </c>
      <c r="BF54" s="21">
        <f>L54</f>
        <v>0</v>
      </c>
      <c r="BH54" s="21">
        <f>F54*AO54</f>
        <v>0</v>
      </c>
      <c r="BI54" s="21">
        <f>F54*AP54</f>
        <v>0</v>
      </c>
      <c r="BJ54" s="21">
        <f>F54*G54</f>
        <v>0</v>
      </c>
      <c r="BK54" s="21" t="s">
        <v>59</v>
      </c>
      <c r="BL54" s="21">
        <v>17</v>
      </c>
    </row>
    <row r="55" spans="1:14" ht="15">
      <c r="A55" s="2"/>
      <c r="C55" s="24" t="s">
        <v>579</v>
      </c>
      <c r="D55" s="24" t="s">
        <v>656</v>
      </c>
      <c r="F55" s="25">
        <v>85</v>
      </c>
      <c r="M55" s="26"/>
      <c r="N55" s="2"/>
    </row>
    <row r="56" spans="1:14" ht="15">
      <c r="A56" s="2"/>
      <c r="B56" s="27" t="s">
        <v>61</v>
      </c>
      <c r="C56" s="634" t="s">
        <v>109</v>
      </c>
      <c r="D56" s="635"/>
      <c r="E56" s="635"/>
      <c r="F56" s="635"/>
      <c r="G56" s="635"/>
      <c r="H56" s="635"/>
      <c r="I56" s="635"/>
      <c r="J56" s="635"/>
      <c r="K56" s="635"/>
      <c r="L56" s="635"/>
      <c r="M56" s="636"/>
      <c r="N56" s="2"/>
    </row>
    <row r="57" spans="1:64" ht="15">
      <c r="A57" s="20" t="s">
        <v>102</v>
      </c>
      <c r="B57" s="3" t="s">
        <v>110</v>
      </c>
      <c r="C57" s="618" t="s">
        <v>111</v>
      </c>
      <c r="D57" s="608"/>
      <c r="E57" s="3" t="s">
        <v>81</v>
      </c>
      <c r="F57" s="21">
        <v>10</v>
      </c>
      <c r="G57" s="537"/>
      <c r="H57" s="21">
        <f>F57*AO57</f>
        <v>0</v>
      </c>
      <c r="I57" s="21">
        <f>F57*AP57</f>
        <v>0</v>
      </c>
      <c r="J57" s="21">
        <f>F57*G57</f>
        <v>0</v>
      </c>
      <c r="K57" s="21">
        <v>0</v>
      </c>
      <c r="L57" s="21">
        <f>F57*K57</f>
        <v>0</v>
      </c>
      <c r="M57" s="22" t="s">
        <v>55</v>
      </c>
      <c r="N57" s="2"/>
      <c r="Z57" s="21">
        <f>IF(AQ57="5",BJ57,0)</f>
        <v>0</v>
      </c>
      <c r="AB57" s="21">
        <f>IF(AQ57="1",BH57,0)</f>
        <v>0</v>
      </c>
      <c r="AC57" s="21">
        <f>IF(AQ57="1",BI57,0)</f>
        <v>0</v>
      </c>
      <c r="AD57" s="21">
        <f>IF(AQ57="7",BH57,0)</f>
        <v>0</v>
      </c>
      <c r="AE57" s="21">
        <f>IF(AQ57="7",BI57,0)</f>
        <v>0</v>
      </c>
      <c r="AF57" s="21">
        <f>IF(AQ57="2",BH57,0)</f>
        <v>0</v>
      </c>
      <c r="AG57" s="21">
        <f>IF(AQ57="2",BI57,0)</f>
        <v>0</v>
      </c>
      <c r="AH57" s="21">
        <f>IF(AQ57="0",BJ57,0)</f>
        <v>0</v>
      </c>
      <c r="AI57" s="10"/>
      <c r="AJ57" s="21">
        <f>IF(AN57=0,J57,0)</f>
        <v>0</v>
      </c>
      <c r="AK57" s="21">
        <f>IF(AN57=15,J57,0)</f>
        <v>0</v>
      </c>
      <c r="AL57" s="21">
        <f>IF(AN57=21,J57,0)</f>
        <v>0</v>
      </c>
      <c r="AN57" s="21">
        <v>21</v>
      </c>
      <c r="AO57" s="21">
        <f>G57*0</f>
        <v>0</v>
      </c>
      <c r="AP57" s="21">
        <f>G57*(1-0)</f>
        <v>0</v>
      </c>
      <c r="AQ57" s="23" t="s">
        <v>51</v>
      </c>
      <c r="AV57" s="21">
        <f>AW57+AX57</f>
        <v>0</v>
      </c>
      <c r="AW57" s="21">
        <f>F57*AO57</f>
        <v>0</v>
      </c>
      <c r="AX57" s="21">
        <f>F57*AP57</f>
        <v>0</v>
      </c>
      <c r="AY57" s="23" t="s">
        <v>107</v>
      </c>
      <c r="AZ57" s="23" t="s">
        <v>57</v>
      </c>
      <c r="BA57" s="10" t="s">
        <v>58</v>
      </c>
      <c r="BC57" s="21">
        <f>AW57+AX57</f>
        <v>0</v>
      </c>
      <c r="BD57" s="21">
        <f>G57/(100-BE57)*100</f>
        <v>0</v>
      </c>
      <c r="BE57" s="21">
        <v>0</v>
      </c>
      <c r="BF57" s="21">
        <f>L57</f>
        <v>0</v>
      </c>
      <c r="BH57" s="21">
        <f>F57*AO57</f>
        <v>0</v>
      </c>
      <c r="BI57" s="21">
        <f>F57*AP57</f>
        <v>0</v>
      </c>
      <c r="BJ57" s="21">
        <f>F57*G57</f>
        <v>0</v>
      </c>
      <c r="BK57" s="21" t="s">
        <v>59</v>
      </c>
      <c r="BL57" s="21">
        <v>17</v>
      </c>
    </row>
    <row r="58" spans="1:14" ht="15">
      <c r="A58" s="2"/>
      <c r="C58" s="24" t="s">
        <v>104</v>
      </c>
      <c r="D58" s="24"/>
      <c r="F58" s="25">
        <v>10</v>
      </c>
      <c r="M58" s="26"/>
      <c r="N58" s="2"/>
    </row>
    <row r="59" spans="1:14" ht="15">
      <c r="A59" s="2"/>
      <c r="B59" s="27" t="s">
        <v>61</v>
      </c>
      <c r="C59" s="634" t="s">
        <v>113</v>
      </c>
      <c r="D59" s="635"/>
      <c r="E59" s="635"/>
      <c r="F59" s="635"/>
      <c r="G59" s="635"/>
      <c r="H59" s="635"/>
      <c r="I59" s="635"/>
      <c r="J59" s="635"/>
      <c r="K59" s="635"/>
      <c r="L59" s="635"/>
      <c r="M59" s="636"/>
      <c r="N59" s="2"/>
    </row>
    <row r="60" spans="1:47" ht="15">
      <c r="A60" s="41"/>
      <c r="B60" s="42" t="s">
        <v>114</v>
      </c>
      <c r="C60" s="637" t="s">
        <v>115</v>
      </c>
      <c r="D60" s="638"/>
      <c r="E60" s="43" t="s">
        <v>4</v>
      </c>
      <c r="F60" s="43" t="s">
        <v>4</v>
      </c>
      <c r="G60" s="43" t="s">
        <v>4</v>
      </c>
      <c r="H60" s="44">
        <f>SUM(H61:H61)</f>
        <v>0</v>
      </c>
      <c r="I60" s="44">
        <f>SUM(I61:I61)</f>
        <v>0</v>
      </c>
      <c r="J60" s="44">
        <f>SUM(J61:J61)</f>
        <v>0</v>
      </c>
      <c r="K60" s="45"/>
      <c r="L60" s="44">
        <f>SUM(L61:L61)</f>
        <v>0</v>
      </c>
      <c r="M60" s="46"/>
      <c r="N60" s="2"/>
      <c r="AI60" s="10"/>
      <c r="AS60" s="19">
        <f>SUM(AJ61:AJ61)</f>
        <v>0</v>
      </c>
      <c r="AT60" s="19">
        <f>SUM(AK61:AK61)</f>
        <v>0</v>
      </c>
      <c r="AU60" s="19">
        <f>SUM(AL61:AL61)</f>
        <v>0</v>
      </c>
    </row>
    <row r="61" spans="1:64" ht="15">
      <c r="A61" s="20" t="s">
        <v>114</v>
      </c>
      <c r="B61" s="3" t="s">
        <v>116</v>
      </c>
      <c r="C61" s="618" t="s">
        <v>117</v>
      </c>
      <c r="D61" s="608"/>
      <c r="E61" s="3" t="s">
        <v>54</v>
      </c>
      <c r="F61" s="21">
        <v>340</v>
      </c>
      <c r="G61" s="537"/>
      <c r="H61" s="21">
        <f>F61*AO61</f>
        <v>0</v>
      </c>
      <c r="I61" s="21">
        <f>F61*AP61</f>
        <v>0</v>
      </c>
      <c r="J61" s="21">
        <f>F61*G61</f>
        <v>0</v>
      </c>
      <c r="K61" s="21">
        <v>0</v>
      </c>
      <c r="L61" s="21">
        <f>F61*K61</f>
        <v>0</v>
      </c>
      <c r="M61" s="22" t="s">
        <v>55</v>
      </c>
      <c r="N61" s="2"/>
      <c r="Z61" s="21">
        <f>IF(AQ61="5",BJ61,0)</f>
        <v>0</v>
      </c>
      <c r="AB61" s="21">
        <f>IF(AQ61="1",BH61,0)</f>
        <v>0</v>
      </c>
      <c r="AC61" s="21">
        <f>IF(AQ61="1",BI61,0)</f>
        <v>0</v>
      </c>
      <c r="AD61" s="21">
        <f>IF(AQ61="7",BH61,0)</f>
        <v>0</v>
      </c>
      <c r="AE61" s="21">
        <f>IF(AQ61="7",BI61,0)</f>
        <v>0</v>
      </c>
      <c r="AF61" s="21">
        <f>IF(AQ61="2",BH61,0)</f>
        <v>0</v>
      </c>
      <c r="AG61" s="21">
        <f>IF(AQ61="2",BI61,0)</f>
        <v>0</v>
      </c>
      <c r="AH61" s="21">
        <f>IF(AQ61="0",BJ61,0)</f>
        <v>0</v>
      </c>
      <c r="AI61" s="10"/>
      <c r="AJ61" s="21">
        <f>IF(AN61=0,J61,0)</f>
        <v>0</v>
      </c>
      <c r="AK61" s="21">
        <f>IF(AN61=15,J61,0)</f>
        <v>0</v>
      </c>
      <c r="AL61" s="21">
        <f>IF(AN61=21,J61,0)</f>
        <v>0</v>
      </c>
      <c r="AN61" s="21">
        <v>21</v>
      </c>
      <c r="AO61" s="21">
        <f>G61*0</f>
        <v>0</v>
      </c>
      <c r="AP61" s="21">
        <f>G61*(1-0)</f>
        <v>0</v>
      </c>
      <c r="AQ61" s="23" t="s">
        <v>51</v>
      </c>
      <c r="AV61" s="21">
        <f>AW61+AX61</f>
        <v>0</v>
      </c>
      <c r="AW61" s="21">
        <f>F61*AO61</f>
        <v>0</v>
      </c>
      <c r="AX61" s="21">
        <f>F61*AP61</f>
        <v>0</v>
      </c>
      <c r="AY61" s="23" t="s">
        <v>118</v>
      </c>
      <c r="AZ61" s="23" t="s">
        <v>57</v>
      </c>
      <c r="BA61" s="10" t="s">
        <v>58</v>
      </c>
      <c r="BC61" s="21">
        <f>AW61+AX61</f>
        <v>0</v>
      </c>
      <c r="BD61" s="21">
        <f>G61/(100-BE61)*100</f>
        <v>0</v>
      </c>
      <c r="BE61" s="21">
        <v>0</v>
      </c>
      <c r="BF61" s="21">
        <f>L61</f>
        <v>0</v>
      </c>
      <c r="BH61" s="21">
        <f>F61*AO61</f>
        <v>0</v>
      </c>
      <c r="BI61" s="21">
        <f>F61*AP61</f>
        <v>0</v>
      </c>
      <c r="BJ61" s="21">
        <f>F61*G61</f>
        <v>0</v>
      </c>
      <c r="BK61" s="21" t="s">
        <v>59</v>
      </c>
      <c r="BL61" s="21">
        <v>18</v>
      </c>
    </row>
    <row r="62" spans="1:14" ht="15">
      <c r="A62" s="2"/>
      <c r="C62" s="24" t="s">
        <v>657</v>
      </c>
      <c r="D62" s="24"/>
      <c r="F62" s="25">
        <v>340</v>
      </c>
      <c r="M62" s="26"/>
      <c r="N62" s="2"/>
    </row>
    <row r="63" spans="1:14" ht="15">
      <c r="A63" s="2"/>
      <c r="B63" s="27" t="s">
        <v>61</v>
      </c>
      <c r="C63" s="634" t="s">
        <v>120</v>
      </c>
      <c r="D63" s="635"/>
      <c r="E63" s="635"/>
      <c r="F63" s="635"/>
      <c r="G63" s="635"/>
      <c r="H63" s="635"/>
      <c r="I63" s="635"/>
      <c r="J63" s="635"/>
      <c r="K63" s="635"/>
      <c r="L63" s="635"/>
      <c r="M63" s="636"/>
      <c r="N63" s="2"/>
    </row>
    <row r="64" spans="1:47" ht="15">
      <c r="A64" s="41"/>
      <c r="B64" s="42" t="s">
        <v>121</v>
      </c>
      <c r="C64" s="637" t="s">
        <v>122</v>
      </c>
      <c r="D64" s="638"/>
      <c r="E64" s="43" t="s">
        <v>4</v>
      </c>
      <c r="F64" s="43" t="s">
        <v>4</v>
      </c>
      <c r="G64" s="43" t="s">
        <v>4</v>
      </c>
      <c r="H64" s="44">
        <f>SUM(H65:H65)</f>
        <v>0</v>
      </c>
      <c r="I64" s="44">
        <f>SUM(I65:I65)</f>
        <v>0</v>
      </c>
      <c r="J64" s="44">
        <f>SUM(J65:J65)</f>
        <v>0</v>
      </c>
      <c r="K64" s="45"/>
      <c r="L64" s="44">
        <f>SUM(L65:L65)</f>
        <v>0</v>
      </c>
      <c r="M64" s="46"/>
      <c r="N64" s="2"/>
      <c r="AI64" s="10"/>
      <c r="AS64" s="19">
        <f>SUM(AJ65:AJ65)</f>
        <v>0</v>
      </c>
      <c r="AT64" s="19">
        <f>SUM(AK65:AK65)</f>
        <v>0</v>
      </c>
      <c r="AU64" s="19">
        <f>SUM(AL65:AL65)</f>
        <v>0</v>
      </c>
    </row>
    <row r="65" spans="1:64" ht="15">
      <c r="A65" s="20" t="s">
        <v>121</v>
      </c>
      <c r="B65" s="3" t="s">
        <v>129</v>
      </c>
      <c r="C65" s="618" t="s">
        <v>130</v>
      </c>
      <c r="D65" s="608"/>
      <c r="E65" s="3" t="s">
        <v>125</v>
      </c>
      <c r="F65" s="21">
        <v>179.68</v>
      </c>
      <c r="G65" s="537"/>
      <c r="H65" s="21">
        <f>F65*AO65</f>
        <v>0</v>
      </c>
      <c r="I65" s="21">
        <f>F65*AP65</f>
        <v>0</v>
      </c>
      <c r="J65" s="21">
        <f>F65*G65</f>
        <v>0</v>
      </c>
      <c r="K65" s="21">
        <v>0</v>
      </c>
      <c r="L65" s="21">
        <f>F65*K65</f>
        <v>0</v>
      </c>
      <c r="M65" s="22" t="s">
        <v>55</v>
      </c>
      <c r="N65" s="2"/>
      <c r="Z65" s="21">
        <f>IF(AQ65="5",BJ65,0)</f>
        <v>0</v>
      </c>
      <c r="AB65" s="21">
        <f>IF(AQ65="1",BH65,0)</f>
        <v>0</v>
      </c>
      <c r="AC65" s="21">
        <f>IF(AQ65="1",BI65,0)</f>
        <v>0</v>
      </c>
      <c r="AD65" s="21">
        <f>IF(AQ65="7",BH65,0)</f>
        <v>0</v>
      </c>
      <c r="AE65" s="21">
        <f>IF(AQ65="7",BI65,0)</f>
        <v>0</v>
      </c>
      <c r="AF65" s="21">
        <f>IF(AQ65="2",BH65,0)</f>
        <v>0</v>
      </c>
      <c r="AG65" s="21">
        <f>IF(AQ65="2",BI65,0)</f>
        <v>0</v>
      </c>
      <c r="AH65" s="21">
        <f>IF(AQ65="0",BJ65,0)</f>
        <v>0</v>
      </c>
      <c r="AI65" s="10"/>
      <c r="AJ65" s="21">
        <f>IF(AN65=0,J65,0)</f>
        <v>0</v>
      </c>
      <c r="AK65" s="21">
        <f>IF(AN65=15,J65,0)</f>
        <v>0</v>
      </c>
      <c r="AL65" s="21">
        <f>IF(AN65=21,J65,0)</f>
        <v>0</v>
      </c>
      <c r="AN65" s="21">
        <v>21</v>
      </c>
      <c r="AO65" s="21">
        <f>G65*0</f>
        <v>0</v>
      </c>
      <c r="AP65" s="21">
        <f>G65*(1-0)</f>
        <v>0</v>
      </c>
      <c r="AQ65" s="23" t="s">
        <v>51</v>
      </c>
      <c r="AV65" s="21">
        <f>AW65+AX65</f>
        <v>0</v>
      </c>
      <c r="AW65" s="21">
        <f>F65*AO65</f>
        <v>0</v>
      </c>
      <c r="AX65" s="21">
        <f>F65*AP65</f>
        <v>0</v>
      </c>
      <c r="AY65" s="23" t="s">
        <v>126</v>
      </c>
      <c r="AZ65" s="23" t="s">
        <v>57</v>
      </c>
      <c r="BA65" s="10" t="s">
        <v>58</v>
      </c>
      <c r="BC65" s="21">
        <f>AW65+AX65</f>
        <v>0</v>
      </c>
      <c r="BD65" s="21">
        <f>G65/(100-BE65)*100</f>
        <v>0</v>
      </c>
      <c r="BE65" s="21">
        <v>0</v>
      </c>
      <c r="BF65" s="21">
        <f>L65</f>
        <v>0</v>
      </c>
      <c r="BH65" s="21">
        <f>F65*AO65</f>
        <v>0</v>
      </c>
      <c r="BI65" s="21">
        <f>F65*AP65</f>
        <v>0</v>
      </c>
      <c r="BJ65" s="21">
        <f>F65*G65</f>
        <v>0</v>
      </c>
      <c r="BK65" s="21" t="s">
        <v>59</v>
      </c>
      <c r="BL65" s="21">
        <v>19</v>
      </c>
    </row>
    <row r="66" spans="1:14" ht="15">
      <c r="A66" s="2"/>
      <c r="C66" s="24" t="s">
        <v>658</v>
      </c>
      <c r="D66" s="24"/>
      <c r="F66" s="25">
        <v>179.68</v>
      </c>
      <c r="M66" s="26"/>
      <c r="N66" s="2"/>
    </row>
    <row r="67" spans="1:47" ht="15">
      <c r="A67" s="41"/>
      <c r="B67" s="42" t="s">
        <v>161</v>
      </c>
      <c r="C67" s="637" t="s">
        <v>456</v>
      </c>
      <c r="D67" s="638"/>
      <c r="E67" s="43" t="s">
        <v>4</v>
      </c>
      <c r="F67" s="43" t="s">
        <v>4</v>
      </c>
      <c r="G67" s="43" t="s">
        <v>4</v>
      </c>
      <c r="H67" s="44">
        <f>SUM(H68:H76)</f>
        <v>0</v>
      </c>
      <c r="I67" s="44">
        <f>SUM(I68:I76)</f>
        <v>0</v>
      </c>
      <c r="J67" s="44">
        <f>SUM(J68:J76)</f>
        <v>0</v>
      </c>
      <c r="K67" s="45"/>
      <c r="L67" s="44">
        <f>SUM(L68:L76)</f>
        <v>90.13972480000001</v>
      </c>
      <c r="M67" s="46"/>
      <c r="N67" s="2"/>
      <c r="AI67" s="10"/>
      <c r="AS67" s="19">
        <f>SUM(AJ68:AJ76)</f>
        <v>0</v>
      </c>
      <c r="AT67" s="19">
        <f>SUM(AK68:AK76)</f>
        <v>0</v>
      </c>
      <c r="AU67" s="19">
        <f>SUM(AL68:AL76)</f>
        <v>0</v>
      </c>
    </row>
    <row r="68" spans="1:64" ht="15">
      <c r="A68" s="20" t="s">
        <v>157</v>
      </c>
      <c r="B68" s="3" t="s">
        <v>457</v>
      </c>
      <c r="C68" s="618" t="s">
        <v>458</v>
      </c>
      <c r="D68" s="608"/>
      <c r="E68" s="3" t="s">
        <v>74</v>
      </c>
      <c r="F68" s="21">
        <v>51</v>
      </c>
      <c r="G68" s="537"/>
      <c r="H68" s="21">
        <f>F68*AO68</f>
        <v>0</v>
      </c>
      <c r="I68" s="21">
        <f>F68*AP68</f>
        <v>0</v>
      </c>
      <c r="J68" s="21">
        <f>F68*G68</f>
        <v>0</v>
      </c>
      <c r="K68" s="21">
        <v>0</v>
      </c>
      <c r="L68" s="21">
        <f>F68*K68</f>
        <v>0</v>
      </c>
      <c r="M68" s="22" t="s">
        <v>55</v>
      </c>
      <c r="N68" s="2"/>
      <c r="Z68" s="21">
        <f>IF(AQ68="5",BJ68,0)</f>
        <v>0</v>
      </c>
      <c r="AB68" s="21">
        <f>IF(AQ68="1",BH68,0)</f>
        <v>0</v>
      </c>
      <c r="AC68" s="21">
        <f>IF(AQ68="1",BI68,0)</f>
        <v>0</v>
      </c>
      <c r="AD68" s="21">
        <f>IF(AQ68="7",BH68,0)</f>
        <v>0</v>
      </c>
      <c r="AE68" s="21">
        <f>IF(AQ68="7",BI68,0)</f>
        <v>0</v>
      </c>
      <c r="AF68" s="21">
        <f>IF(AQ68="2",BH68,0)</f>
        <v>0</v>
      </c>
      <c r="AG68" s="21">
        <f>IF(AQ68="2",BI68,0)</f>
        <v>0</v>
      </c>
      <c r="AH68" s="21">
        <f>IF(AQ68="0",BJ68,0)</f>
        <v>0</v>
      </c>
      <c r="AI68" s="10"/>
      <c r="AJ68" s="21">
        <f>IF(AN68=0,J68,0)</f>
        <v>0</v>
      </c>
      <c r="AK68" s="21">
        <f>IF(AN68=15,J68,0)</f>
        <v>0</v>
      </c>
      <c r="AL68" s="21">
        <f>IF(AN68=21,J68,0)</f>
        <v>0</v>
      </c>
      <c r="AN68" s="21">
        <v>21</v>
      </c>
      <c r="AO68" s="21">
        <f>G68*0</f>
        <v>0</v>
      </c>
      <c r="AP68" s="21">
        <f>G68*(1-0)</f>
        <v>0</v>
      </c>
      <c r="AQ68" s="23" t="s">
        <v>51</v>
      </c>
      <c r="AV68" s="21">
        <f>AW68+AX68</f>
        <v>0</v>
      </c>
      <c r="AW68" s="21">
        <f>F68*AO68</f>
        <v>0</v>
      </c>
      <c r="AX68" s="21">
        <f>F68*AP68</f>
        <v>0</v>
      </c>
      <c r="AY68" s="23" t="s">
        <v>459</v>
      </c>
      <c r="AZ68" s="23" t="s">
        <v>460</v>
      </c>
      <c r="BA68" s="10" t="s">
        <v>58</v>
      </c>
      <c r="BC68" s="21">
        <f>AW68+AX68</f>
        <v>0</v>
      </c>
      <c r="BD68" s="21">
        <f>G68/(100-BE68)*100</f>
        <v>0</v>
      </c>
      <c r="BE68" s="21">
        <v>0</v>
      </c>
      <c r="BF68" s="21">
        <f>L68</f>
        <v>0</v>
      </c>
      <c r="BH68" s="21">
        <f>F68*AO68</f>
        <v>0</v>
      </c>
      <c r="BI68" s="21">
        <f>F68*AP68</f>
        <v>0</v>
      </c>
      <c r="BJ68" s="21">
        <f>F68*G68</f>
        <v>0</v>
      </c>
      <c r="BK68" s="21" t="s">
        <v>59</v>
      </c>
      <c r="BL68" s="21">
        <v>21</v>
      </c>
    </row>
    <row r="69" spans="1:14" ht="15">
      <c r="A69" s="2"/>
      <c r="C69" s="24" t="s">
        <v>315</v>
      </c>
      <c r="D69" s="24"/>
      <c r="F69" s="25">
        <v>51</v>
      </c>
      <c r="M69" s="26"/>
      <c r="N69" s="2"/>
    </row>
    <row r="70" spans="1:64" ht="15">
      <c r="A70" s="20" t="s">
        <v>161</v>
      </c>
      <c r="B70" s="3" t="s">
        <v>461</v>
      </c>
      <c r="C70" s="618" t="s">
        <v>462</v>
      </c>
      <c r="D70" s="608"/>
      <c r="E70" s="3" t="s">
        <v>81</v>
      </c>
      <c r="F70" s="21">
        <v>51</v>
      </c>
      <c r="G70" s="537"/>
      <c r="H70" s="21">
        <f>F70*AO70</f>
        <v>0</v>
      </c>
      <c r="I70" s="21">
        <f>F70*AP70</f>
        <v>0</v>
      </c>
      <c r="J70" s="21">
        <f>F70*G70</f>
        <v>0</v>
      </c>
      <c r="K70" s="21">
        <v>1.665</v>
      </c>
      <c r="L70" s="21">
        <f>F70*K70</f>
        <v>84.915</v>
      </c>
      <c r="M70" s="22" t="s">
        <v>55</v>
      </c>
      <c r="N70" s="2"/>
      <c r="Z70" s="21">
        <f>IF(AQ70="5",BJ70,0)</f>
        <v>0</v>
      </c>
      <c r="AB70" s="21">
        <f>IF(AQ70="1",BH70,0)</f>
        <v>0</v>
      </c>
      <c r="AC70" s="21">
        <f>IF(AQ70="1",BI70,0)</f>
        <v>0</v>
      </c>
      <c r="AD70" s="21">
        <f>IF(AQ70="7",BH70,0)</f>
        <v>0</v>
      </c>
      <c r="AE70" s="21">
        <f>IF(AQ70="7",BI70,0)</f>
        <v>0</v>
      </c>
      <c r="AF70" s="21">
        <f>IF(AQ70="2",BH70,0)</f>
        <v>0</v>
      </c>
      <c r="AG70" s="21">
        <f>IF(AQ70="2",BI70,0)</f>
        <v>0</v>
      </c>
      <c r="AH70" s="21">
        <f>IF(AQ70="0",BJ70,0)</f>
        <v>0</v>
      </c>
      <c r="AI70" s="10"/>
      <c r="AJ70" s="21">
        <f>IF(AN70=0,J70,0)</f>
        <v>0</v>
      </c>
      <c r="AK70" s="21">
        <f>IF(AN70=15,J70,0)</f>
        <v>0</v>
      </c>
      <c r="AL70" s="21">
        <f>IF(AN70=21,J70,0)</f>
        <v>0</v>
      </c>
      <c r="AN70" s="21">
        <v>21</v>
      </c>
      <c r="AO70" s="21">
        <f>G70*0.697922105043333</f>
        <v>0</v>
      </c>
      <c r="AP70" s="21">
        <f>G70*(1-0.697922105043333)</f>
        <v>0</v>
      </c>
      <c r="AQ70" s="23" t="s">
        <v>51</v>
      </c>
      <c r="AV70" s="21">
        <f>AW70+AX70</f>
        <v>0</v>
      </c>
      <c r="AW70" s="21">
        <f>F70*AO70</f>
        <v>0</v>
      </c>
      <c r="AX70" s="21">
        <f>F70*AP70</f>
        <v>0</v>
      </c>
      <c r="AY70" s="23" t="s">
        <v>459</v>
      </c>
      <c r="AZ70" s="23" t="s">
        <v>460</v>
      </c>
      <c r="BA70" s="10" t="s">
        <v>58</v>
      </c>
      <c r="BC70" s="21">
        <f>AW70+AX70</f>
        <v>0</v>
      </c>
      <c r="BD70" s="21">
        <f>G70/(100-BE70)*100</f>
        <v>0</v>
      </c>
      <c r="BE70" s="21">
        <v>0</v>
      </c>
      <c r="BF70" s="21">
        <f>L70</f>
        <v>84.915</v>
      </c>
      <c r="BH70" s="21">
        <f>F70*AO70</f>
        <v>0</v>
      </c>
      <c r="BI70" s="21">
        <f>F70*AP70</f>
        <v>0</v>
      </c>
      <c r="BJ70" s="21">
        <f>F70*G70</f>
        <v>0</v>
      </c>
      <c r="BK70" s="21" t="s">
        <v>59</v>
      </c>
      <c r="BL70" s="21">
        <v>21</v>
      </c>
    </row>
    <row r="71" spans="1:14" ht="15">
      <c r="A71" s="2"/>
      <c r="C71" s="24" t="s">
        <v>315</v>
      </c>
      <c r="D71" s="24"/>
      <c r="F71" s="25">
        <v>51</v>
      </c>
      <c r="M71" s="26"/>
      <c r="N71" s="2"/>
    </row>
    <row r="72" spans="1:64" ht="15">
      <c r="A72" s="20" t="s">
        <v>165</v>
      </c>
      <c r="B72" s="3" t="s">
        <v>464</v>
      </c>
      <c r="C72" s="618" t="s">
        <v>465</v>
      </c>
      <c r="D72" s="608"/>
      <c r="E72" s="3" t="s">
        <v>74</v>
      </c>
      <c r="F72" s="21">
        <v>51.51</v>
      </c>
      <c r="G72" s="537"/>
      <c r="H72" s="21">
        <f>F72*AO72</f>
        <v>0</v>
      </c>
      <c r="I72" s="21">
        <f>F72*AP72</f>
        <v>0</v>
      </c>
      <c r="J72" s="21">
        <f>F72*G72</f>
        <v>0</v>
      </c>
      <c r="K72" s="21">
        <v>0.00048</v>
      </c>
      <c r="L72" s="21">
        <f>F72*K72</f>
        <v>0.024724799999999998</v>
      </c>
      <c r="M72" s="22" t="s">
        <v>55</v>
      </c>
      <c r="N72" s="2"/>
      <c r="Z72" s="21">
        <f>IF(AQ72="5",BJ72,0)</f>
        <v>0</v>
      </c>
      <c r="AB72" s="21">
        <f>IF(AQ72="1",BH72,0)</f>
        <v>0</v>
      </c>
      <c r="AC72" s="21">
        <f>IF(AQ72="1",BI72,0)</f>
        <v>0</v>
      </c>
      <c r="AD72" s="21">
        <f>IF(AQ72="7",BH72,0)</f>
        <v>0</v>
      </c>
      <c r="AE72" s="21">
        <f>IF(AQ72="7",BI72,0)</f>
        <v>0</v>
      </c>
      <c r="AF72" s="21">
        <f>IF(AQ72="2",BH72,0)</f>
        <v>0</v>
      </c>
      <c r="AG72" s="21">
        <f>IF(AQ72="2",BI72,0)</f>
        <v>0</v>
      </c>
      <c r="AH72" s="21">
        <f>IF(AQ72="0",BJ72,0)</f>
        <v>0</v>
      </c>
      <c r="AI72" s="10"/>
      <c r="AJ72" s="21">
        <f>IF(AN72=0,J72,0)</f>
        <v>0</v>
      </c>
      <c r="AK72" s="21">
        <f>IF(AN72=15,J72,0)</f>
        <v>0</v>
      </c>
      <c r="AL72" s="21">
        <f>IF(AN72=21,J72,0)</f>
        <v>0</v>
      </c>
      <c r="AN72" s="21">
        <v>21</v>
      </c>
      <c r="AO72" s="21">
        <f>G72*1</f>
        <v>0</v>
      </c>
      <c r="AP72" s="21">
        <f>G72*(1-1)</f>
        <v>0</v>
      </c>
      <c r="AQ72" s="23" t="s">
        <v>51</v>
      </c>
      <c r="AV72" s="21">
        <f>AW72+AX72</f>
        <v>0</v>
      </c>
      <c r="AW72" s="21">
        <f>F72*AO72</f>
        <v>0</v>
      </c>
      <c r="AX72" s="21">
        <f>F72*AP72</f>
        <v>0</v>
      </c>
      <c r="AY72" s="23" t="s">
        <v>459</v>
      </c>
      <c r="AZ72" s="23" t="s">
        <v>460</v>
      </c>
      <c r="BA72" s="10" t="s">
        <v>58</v>
      </c>
      <c r="BC72" s="21">
        <f>AW72+AX72</f>
        <v>0</v>
      </c>
      <c r="BD72" s="21">
        <f>G72/(100-BE72)*100</f>
        <v>0</v>
      </c>
      <c r="BE72" s="21">
        <v>0</v>
      </c>
      <c r="BF72" s="21">
        <f>L72</f>
        <v>0.024724799999999998</v>
      </c>
      <c r="BH72" s="21">
        <f>F72*AO72</f>
        <v>0</v>
      </c>
      <c r="BI72" s="21">
        <f>F72*AP72</f>
        <v>0</v>
      </c>
      <c r="BJ72" s="21">
        <f>F72*G72</f>
        <v>0</v>
      </c>
      <c r="BK72" s="21" t="s">
        <v>201</v>
      </c>
      <c r="BL72" s="21">
        <v>21</v>
      </c>
    </row>
    <row r="73" spans="1:14" ht="15">
      <c r="A73" s="2"/>
      <c r="C73" s="24" t="s">
        <v>315</v>
      </c>
      <c r="D73" s="24"/>
      <c r="F73" s="25">
        <v>51</v>
      </c>
      <c r="M73" s="26"/>
      <c r="N73" s="2"/>
    </row>
    <row r="74" spans="1:14" ht="15">
      <c r="A74" s="2"/>
      <c r="C74" s="24" t="s">
        <v>659</v>
      </c>
      <c r="D74" s="24"/>
      <c r="F74" s="25">
        <v>0.51</v>
      </c>
      <c r="M74" s="26"/>
      <c r="N74" s="2"/>
    </row>
    <row r="75" spans="1:14" ht="15">
      <c r="A75" s="2"/>
      <c r="B75" s="27"/>
      <c r="C75" s="634"/>
      <c r="D75" s="635"/>
      <c r="E75" s="635"/>
      <c r="F75" s="635"/>
      <c r="G75" s="635"/>
      <c r="H75" s="635"/>
      <c r="I75" s="635"/>
      <c r="J75" s="635"/>
      <c r="K75" s="635"/>
      <c r="L75" s="635"/>
      <c r="M75" s="636"/>
      <c r="N75" s="2"/>
    </row>
    <row r="76" spans="1:64" ht="15">
      <c r="A76" s="20" t="s">
        <v>70</v>
      </c>
      <c r="B76" s="3" t="s">
        <v>660</v>
      </c>
      <c r="C76" s="618" t="s">
        <v>661</v>
      </c>
      <c r="D76" s="608"/>
      <c r="E76" s="3" t="s">
        <v>74</v>
      </c>
      <c r="F76" s="21">
        <v>65</v>
      </c>
      <c r="G76" s="537"/>
      <c r="H76" s="21">
        <f>F76*AO76</f>
        <v>0</v>
      </c>
      <c r="I76" s="21">
        <f>F76*AP76</f>
        <v>0</v>
      </c>
      <c r="J76" s="21">
        <f>F76*G76</f>
        <v>0</v>
      </c>
      <c r="K76" s="21">
        <v>0.08</v>
      </c>
      <c r="L76" s="21">
        <f>F76*K76</f>
        <v>5.2</v>
      </c>
      <c r="M76" s="539" t="s">
        <v>2130</v>
      </c>
      <c r="N76" s="2"/>
      <c r="Z76" s="21">
        <f>IF(AQ76="5",BJ76,0)</f>
        <v>0</v>
      </c>
      <c r="AB76" s="21">
        <f>IF(AQ76="1",BH76,0)</f>
        <v>0</v>
      </c>
      <c r="AC76" s="21">
        <f>IF(AQ76="1",BI76,0)</f>
        <v>0</v>
      </c>
      <c r="AD76" s="21">
        <f>IF(AQ76="7",BH76,0)</f>
        <v>0</v>
      </c>
      <c r="AE76" s="21">
        <f>IF(AQ76="7",BI76,0)</f>
        <v>0</v>
      </c>
      <c r="AF76" s="21">
        <f>IF(AQ76="2",BH76,0)</f>
        <v>0</v>
      </c>
      <c r="AG76" s="21">
        <f>IF(AQ76="2",BI76,0)</f>
        <v>0</v>
      </c>
      <c r="AH76" s="21">
        <f>IF(AQ76="0",BJ76,0)</f>
        <v>0</v>
      </c>
      <c r="AI76" s="10"/>
      <c r="AJ76" s="21">
        <f>IF(AN76=0,J76,0)</f>
        <v>0</v>
      </c>
      <c r="AK76" s="21">
        <f>IF(AN76=15,J76,0)</f>
        <v>0</v>
      </c>
      <c r="AL76" s="21">
        <f>IF(AN76=21,J76,0)</f>
        <v>0</v>
      </c>
      <c r="AN76" s="21">
        <v>21</v>
      </c>
      <c r="AO76" s="21">
        <f>G76*0.697928571428571</f>
        <v>0</v>
      </c>
      <c r="AP76" s="21">
        <f>G76*(1-0.697928571428571)</f>
        <v>0</v>
      </c>
      <c r="AQ76" s="23" t="s">
        <v>51</v>
      </c>
      <c r="AV76" s="21">
        <f>AW76+AX76</f>
        <v>0</v>
      </c>
      <c r="AW76" s="21">
        <f>F76*AO76</f>
        <v>0</v>
      </c>
      <c r="AX76" s="21">
        <f>F76*AP76</f>
        <v>0</v>
      </c>
      <c r="AY76" s="23" t="s">
        <v>459</v>
      </c>
      <c r="AZ76" s="23" t="s">
        <v>460</v>
      </c>
      <c r="BA76" s="10" t="s">
        <v>58</v>
      </c>
      <c r="BC76" s="21">
        <f>AW76+AX76</f>
        <v>0</v>
      </c>
      <c r="BD76" s="21">
        <f>G76/(100-BE76)*100</f>
        <v>0</v>
      </c>
      <c r="BE76" s="21">
        <v>0</v>
      </c>
      <c r="BF76" s="21">
        <f>L76</f>
        <v>5.2</v>
      </c>
      <c r="BH76" s="21">
        <f>F76*AO76</f>
        <v>0</v>
      </c>
      <c r="BI76" s="21">
        <f>F76*AP76</f>
        <v>0</v>
      </c>
      <c r="BJ76" s="21">
        <f>F76*G76</f>
        <v>0</v>
      </c>
      <c r="BK76" s="21" t="s">
        <v>59</v>
      </c>
      <c r="BL76" s="21">
        <v>21</v>
      </c>
    </row>
    <row r="77" spans="1:14" ht="15">
      <c r="A77" s="2"/>
      <c r="C77" s="24" t="s">
        <v>369</v>
      </c>
      <c r="D77" s="24"/>
      <c r="F77" s="25">
        <v>65</v>
      </c>
      <c r="M77" s="26"/>
      <c r="N77" s="2"/>
    </row>
    <row r="78" spans="1:47" ht="15">
      <c r="A78" s="41"/>
      <c r="B78" s="42" t="s">
        <v>132</v>
      </c>
      <c r="C78" s="637" t="s">
        <v>133</v>
      </c>
      <c r="D78" s="638"/>
      <c r="E78" s="43" t="s">
        <v>4</v>
      </c>
      <c r="F78" s="43" t="s">
        <v>4</v>
      </c>
      <c r="G78" s="43" t="s">
        <v>4</v>
      </c>
      <c r="H78" s="44">
        <f>SUM(H79:H92)</f>
        <v>0</v>
      </c>
      <c r="I78" s="44">
        <f>SUM(I79:I92)</f>
        <v>0</v>
      </c>
      <c r="J78" s="44">
        <f>SUM(J79:J92)</f>
        <v>0</v>
      </c>
      <c r="K78" s="45"/>
      <c r="L78" s="44">
        <f>SUM(L79:L92)</f>
        <v>169.42692000000002</v>
      </c>
      <c r="M78" s="46"/>
      <c r="N78" s="2"/>
      <c r="AI78" s="10"/>
      <c r="AS78" s="19">
        <f>SUM(AJ79:AJ92)</f>
        <v>0</v>
      </c>
      <c r="AT78" s="19">
        <f>SUM(AK79:AK92)</f>
        <v>0</v>
      </c>
      <c r="AU78" s="19">
        <f>SUM(AL79:AL92)</f>
        <v>0</v>
      </c>
    </row>
    <row r="79" spans="1:64" ht="15">
      <c r="A79" s="20" t="s">
        <v>172</v>
      </c>
      <c r="B79" s="3" t="s">
        <v>134</v>
      </c>
      <c r="C79" s="618" t="s">
        <v>135</v>
      </c>
      <c r="D79" s="608"/>
      <c r="E79" s="3" t="s">
        <v>54</v>
      </c>
      <c r="F79" s="21">
        <v>127</v>
      </c>
      <c r="G79" s="537"/>
      <c r="H79" s="21">
        <f>F79*AO79</f>
        <v>0</v>
      </c>
      <c r="I79" s="21">
        <f>F79*AP79</f>
        <v>0</v>
      </c>
      <c r="J79" s="21">
        <f>F79*G79</f>
        <v>0</v>
      </c>
      <c r="K79" s="21">
        <v>0.02058</v>
      </c>
      <c r="L79" s="21">
        <f>F79*K79</f>
        <v>2.6136600000000003</v>
      </c>
      <c r="M79" s="539" t="s">
        <v>2130</v>
      </c>
      <c r="N79" s="2"/>
      <c r="Z79" s="21">
        <f>IF(AQ79="5",BJ79,0)</f>
        <v>0</v>
      </c>
      <c r="AB79" s="21">
        <f>IF(AQ79="1",BH79,0)</f>
        <v>0</v>
      </c>
      <c r="AC79" s="21">
        <f>IF(AQ79="1",BI79,0)</f>
        <v>0</v>
      </c>
      <c r="AD79" s="21">
        <f>IF(AQ79="7",BH79,0)</f>
        <v>0</v>
      </c>
      <c r="AE79" s="21">
        <f>IF(AQ79="7",BI79,0)</f>
        <v>0</v>
      </c>
      <c r="AF79" s="21">
        <f>IF(AQ79="2",BH79,0)</f>
        <v>0</v>
      </c>
      <c r="AG79" s="21">
        <f>IF(AQ79="2",BI79,0)</f>
        <v>0</v>
      </c>
      <c r="AH79" s="21">
        <f>IF(AQ79="0",BJ79,0)</f>
        <v>0</v>
      </c>
      <c r="AI79" s="10"/>
      <c r="AJ79" s="21">
        <f>IF(AN79=0,J79,0)</f>
        <v>0</v>
      </c>
      <c r="AK79" s="21">
        <f>IF(AN79=15,J79,0)</f>
        <v>0</v>
      </c>
      <c r="AL79" s="21">
        <f>IF(AN79=21,J79,0)</f>
        <v>0</v>
      </c>
      <c r="AN79" s="21">
        <v>21</v>
      </c>
      <c r="AO79" s="21">
        <f>G79*0.5408</f>
        <v>0</v>
      </c>
      <c r="AP79" s="21">
        <f>G79*(1-0.5408)</f>
        <v>0</v>
      </c>
      <c r="AQ79" s="23" t="s">
        <v>51</v>
      </c>
      <c r="AV79" s="21">
        <f>AW79+AX79</f>
        <v>0</v>
      </c>
      <c r="AW79" s="21">
        <f>F79*AO79</f>
        <v>0</v>
      </c>
      <c r="AX79" s="21">
        <f>F79*AP79</f>
        <v>0</v>
      </c>
      <c r="AY79" s="23" t="s">
        <v>136</v>
      </c>
      <c r="AZ79" s="23" t="s">
        <v>137</v>
      </c>
      <c r="BA79" s="10" t="s">
        <v>58</v>
      </c>
      <c r="BC79" s="21">
        <f>AW79+AX79</f>
        <v>0</v>
      </c>
      <c r="BD79" s="21">
        <f>G79/(100-BE79)*100</f>
        <v>0</v>
      </c>
      <c r="BE79" s="21">
        <v>0</v>
      </c>
      <c r="BF79" s="21">
        <f>L79</f>
        <v>2.6136600000000003</v>
      </c>
      <c r="BH79" s="21">
        <f>F79*AO79</f>
        <v>0</v>
      </c>
      <c r="BI79" s="21">
        <f>F79*AP79</f>
        <v>0</v>
      </c>
      <c r="BJ79" s="21">
        <f>F79*G79</f>
        <v>0</v>
      </c>
      <c r="BK79" s="21" t="s">
        <v>59</v>
      </c>
      <c r="BL79" s="21">
        <v>56</v>
      </c>
    </row>
    <row r="80" spans="1:14" ht="15">
      <c r="A80" s="2"/>
      <c r="B80" s="27" t="s">
        <v>138</v>
      </c>
      <c r="C80" s="639" t="s">
        <v>139</v>
      </c>
      <c r="D80" s="640"/>
      <c r="E80" s="640"/>
      <c r="F80" s="640"/>
      <c r="G80" s="640"/>
      <c r="H80" s="640"/>
      <c r="I80" s="640"/>
      <c r="J80" s="640"/>
      <c r="K80" s="640"/>
      <c r="L80" s="640"/>
      <c r="M80" s="641"/>
      <c r="N80" s="2"/>
    </row>
    <row r="81" spans="1:14" ht="15">
      <c r="A81" s="2"/>
      <c r="C81" s="24" t="s">
        <v>662</v>
      </c>
      <c r="D81" s="24"/>
      <c r="F81" s="25">
        <v>127</v>
      </c>
      <c r="M81" s="26"/>
      <c r="N81" s="2"/>
    </row>
    <row r="82" spans="1:64" ht="15">
      <c r="A82" s="20" t="s">
        <v>177</v>
      </c>
      <c r="B82" s="3" t="s">
        <v>587</v>
      </c>
      <c r="C82" s="618" t="s">
        <v>588</v>
      </c>
      <c r="D82" s="608"/>
      <c r="E82" s="3" t="s">
        <v>54</v>
      </c>
      <c r="F82" s="21">
        <v>107</v>
      </c>
      <c r="G82" s="537"/>
      <c r="H82" s="21">
        <f>F82*AO82</f>
        <v>0</v>
      </c>
      <c r="I82" s="21">
        <f>F82*AP82</f>
        <v>0</v>
      </c>
      <c r="J82" s="21">
        <f>F82*G82</f>
        <v>0</v>
      </c>
      <c r="K82" s="21">
        <v>0.46</v>
      </c>
      <c r="L82" s="21">
        <f>F82*K82</f>
        <v>49.22</v>
      </c>
      <c r="M82" s="22" t="s">
        <v>55</v>
      </c>
      <c r="N82" s="2"/>
      <c r="Z82" s="21">
        <f>IF(AQ82="5",BJ82,0)</f>
        <v>0</v>
      </c>
      <c r="AB82" s="21">
        <f>IF(AQ82="1",BH82,0)</f>
        <v>0</v>
      </c>
      <c r="AC82" s="21">
        <f>IF(AQ82="1",BI82,0)</f>
        <v>0</v>
      </c>
      <c r="AD82" s="21">
        <f>IF(AQ82="7",BH82,0)</f>
        <v>0</v>
      </c>
      <c r="AE82" s="21">
        <f>IF(AQ82="7",BI82,0)</f>
        <v>0</v>
      </c>
      <c r="AF82" s="21">
        <f>IF(AQ82="2",BH82,0)</f>
        <v>0</v>
      </c>
      <c r="AG82" s="21">
        <f>IF(AQ82="2",BI82,0)</f>
        <v>0</v>
      </c>
      <c r="AH82" s="21">
        <f>IF(AQ82="0",BJ82,0)</f>
        <v>0</v>
      </c>
      <c r="AI82" s="10"/>
      <c r="AJ82" s="21">
        <f>IF(AN82=0,J82,0)</f>
        <v>0</v>
      </c>
      <c r="AK82" s="21">
        <f>IF(AN82=15,J82,0)</f>
        <v>0</v>
      </c>
      <c r="AL82" s="21">
        <f>IF(AN82=21,J82,0)</f>
        <v>0</v>
      </c>
      <c r="AN82" s="21">
        <v>21</v>
      </c>
      <c r="AO82" s="21">
        <f>G82*0.854802784222738</f>
        <v>0</v>
      </c>
      <c r="AP82" s="21">
        <f>G82*(1-0.854802784222738)</f>
        <v>0</v>
      </c>
      <c r="AQ82" s="23" t="s">
        <v>51</v>
      </c>
      <c r="AV82" s="21">
        <f>AW82+AX82</f>
        <v>0</v>
      </c>
      <c r="AW82" s="21">
        <f>F82*AO82</f>
        <v>0</v>
      </c>
      <c r="AX82" s="21">
        <f>F82*AP82</f>
        <v>0</v>
      </c>
      <c r="AY82" s="23" t="s">
        <v>136</v>
      </c>
      <c r="AZ82" s="23" t="s">
        <v>137</v>
      </c>
      <c r="BA82" s="10" t="s">
        <v>58</v>
      </c>
      <c r="BC82" s="21">
        <f>AW82+AX82</f>
        <v>0</v>
      </c>
      <c r="BD82" s="21">
        <f>G82/(100-BE82)*100</f>
        <v>0</v>
      </c>
      <c r="BE82" s="21">
        <v>0</v>
      </c>
      <c r="BF82" s="21">
        <f>L82</f>
        <v>49.22</v>
      </c>
      <c r="BH82" s="21">
        <f>F82*AO82</f>
        <v>0</v>
      </c>
      <c r="BI82" s="21">
        <f>F82*AP82</f>
        <v>0</v>
      </c>
      <c r="BJ82" s="21">
        <f>F82*G82</f>
        <v>0</v>
      </c>
      <c r="BK82" s="21" t="s">
        <v>59</v>
      </c>
      <c r="BL82" s="21">
        <v>56</v>
      </c>
    </row>
    <row r="83" spans="1:14" ht="15">
      <c r="A83" s="2"/>
      <c r="B83" s="27" t="s">
        <v>138</v>
      </c>
      <c r="C83" s="639" t="s">
        <v>143</v>
      </c>
      <c r="D83" s="640"/>
      <c r="E83" s="640"/>
      <c r="F83" s="640"/>
      <c r="G83" s="640"/>
      <c r="H83" s="640"/>
      <c r="I83" s="640"/>
      <c r="J83" s="640"/>
      <c r="K83" s="640"/>
      <c r="L83" s="640"/>
      <c r="M83" s="641"/>
      <c r="N83" s="2"/>
    </row>
    <row r="84" spans="1:14" ht="15">
      <c r="A84" s="2"/>
      <c r="C84" s="24" t="s">
        <v>663</v>
      </c>
      <c r="D84" s="24"/>
      <c r="F84" s="25">
        <v>107</v>
      </c>
      <c r="M84" s="26"/>
      <c r="N84" s="2"/>
    </row>
    <row r="85" spans="1:64" ht="15">
      <c r="A85" s="20" t="s">
        <v>181</v>
      </c>
      <c r="B85" s="3" t="s">
        <v>150</v>
      </c>
      <c r="C85" s="618" t="s">
        <v>151</v>
      </c>
      <c r="D85" s="608"/>
      <c r="E85" s="3" t="s">
        <v>54</v>
      </c>
      <c r="F85" s="21">
        <v>177</v>
      </c>
      <c r="G85" s="537"/>
      <c r="H85" s="21">
        <f>F85*AO85</f>
        <v>0</v>
      </c>
      <c r="I85" s="21">
        <f>F85*AP85</f>
        <v>0</v>
      </c>
      <c r="J85" s="21">
        <f>F85*G85</f>
        <v>0</v>
      </c>
      <c r="K85" s="21">
        <v>0.345</v>
      </c>
      <c r="L85" s="21">
        <f>F85*K85</f>
        <v>61.065</v>
      </c>
      <c r="M85" s="22" t="s">
        <v>55</v>
      </c>
      <c r="N85" s="2"/>
      <c r="Z85" s="21">
        <f>IF(AQ85="5",BJ85,0)</f>
        <v>0</v>
      </c>
      <c r="AB85" s="21">
        <f>IF(AQ85="1",BH85,0)</f>
        <v>0</v>
      </c>
      <c r="AC85" s="21">
        <f>IF(AQ85="1",BI85,0)</f>
        <v>0</v>
      </c>
      <c r="AD85" s="21">
        <f>IF(AQ85="7",BH85,0)</f>
        <v>0</v>
      </c>
      <c r="AE85" s="21">
        <f>IF(AQ85="7",BI85,0)</f>
        <v>0</v>
      </c>
      <c r="AF85" s="21">
        <f>IF(AQ85="2",BH85,0)</f>
        <v>0</v>
      </c>
      <c r="AG85" s="21">
        <f>IF(AQ85="2",BI85,0)</f>
        <v>0</v>
      </c>
      <c r="AH85" s="21">
        <f>IF(AQ85="0",BJ85,0)</f>
        <v>0</v>
      </c>
      <c r="AI85" s="10"/>
      <c r="AJ85" s="21">
        <f>IF(AN85=0,J85,0)</f>
        <v>0</v>
      </c>
      <c r="AK85" s="21">
        <f>IF(AN85=15,J85,0)</f>
        <v>0</v>
      </c>
      <c r="AL85" s="21">
        <f>IF(AN85=21,J85,0)</f>
        <v>0</v>
      </c>
      <c r="AN85" s="21">
        <v>21</v>
      </c>
      <c r="AO85" s="21">
        <f>G85*0.835878787878788</f>
        <v>0</v>
      </c>
      <c r="AP85" s="21">
        <f>G85*(1-0.835878787878788)</f>
        <v>0</v>
      </c>
      <c r="AQ85" s="23" t="s">
        <v>51</v>
      </c>
      <c r="AV85" s="21">
        <f>AW85+AX85</f>
        <v>0</v>
      </c>
      <c r="AW85" s="21">
        <f>F85*AO85</f>
        <v>0</v>
      </c>
      <c r="AX85" s="21">
        <f>F85*AP85</f>
        <v>0</v>
      </c>
      <c r="AY85" s="23" t="s">
        <v>136</v>
      </c>
      <c r="AZ85" s="23" t="s">
        <v>137</v>
      </c>
      <c r="BA85" s="10" t="s">
        <v>58</v>
      </c>
      <c r="BC85" s="21">
        <f>AW85+AX85</f>
        <v>0</v>
      </c>
      <c r="BD85" s="21">
        <f>G85/(100-BE85)*100</f>
        <v>0</v>
      </c>
      <c r="BE85" s="21">
        <v>0</v>
      </c>
      <c r="BF85" s="21">
        <f>L85</f>
        <v>61.065</v>
      </c>
      <c r="BH85" s="21">
        <f>F85*AO85</f>
        <v>0</v>
      </c>
      <c r="BI85" s="21">
        <f>F85*AP85</f>
        <v>0</v>
      </c>
      <c r="BJ85" s="21">
        <f>F85*G85</f>
        <v>0</v>
      </c>
      <c r="BK85" s="21" t="s">
        <v>59</v>
      </c>
      <c r="BL85" s="21">
        <v>56</v>
      </c>
    </row>
    <row r="86" spans="1:14" ht="15">
      <c r="A86" s="2"/>
      <c r="B86" s="27" t="s">
        <v>138</v>
      </c>
      <c r="C86" s="639" t="s">
        <v>143</v>
      </c>
      <c r="D86" s="640"/>
      <c r="E86" s="640"/>
      <c r="F86" s="640"/>
      <c r="G86" s="640"/>
      <c r="H86" s="640"/>
      <c r="I86" s="640"/>
      <c r="J86" s="640"/>
      <c r="K86" s="640"/>
      <c r="L86" s="640"/>
      <c r="M86" s="641"/>
      <c r="N86" s="2"/>
    </row>
    <row r="87" spans="1:14" ht="15">
      <c r="A87" s="2"/>
      <c r="C87" s="24" t="s">
        <v>664</v>
      </c>
      <c r="D87" s="24"/>
      <c r="F87" s="25">
        <v>177</v>
      </c>
      <c r="M87" s="26"/>
      <c r="N87" s="2"/>
    </row>
    <row r="88" spans="1:64" ht="15">
      <c r="A88" s="20" t="s">
        <v>187</v>
      </c>
      <c r="B88" s="3" t="s">
        <v>476</v>
      </c>
      <c r="C88" s="618" t="s">
        <v>477</v>
      </c>
      <c r="D88" s="608"/>
      <c r="E88" s="3" t="s">
        <v>54</v>
      </c>
      <c r="F88" s="21">
        <v>25</v>
      </c>
      <c r="G88" s="537"/>
      <c r="H88" s="21">
        <f>F88*AO88</f>
        <v>0</v>
      </c>
      <c r="I88" s="21">
        <f>F88*AP88</f>
        <v>0</v>
      </c>
      <c r="J88" s="21">
        <f>F88*G88</f>
        <v>0</v>
      </c>
      <c r="K88" s="21">
        <v>0.51086</v>
      </c>
      <c r="L88" s="21">
        <f>F88*K88</f>
        <v>12.7715</v>
      </c>
      <c r="M88" s="22" t="s">
        <v>55</v>
      </c>
      <c r="N88" s="2"/>
      <c r="Z88" s="21">
        <f>IF(AQ88="5",BJ88,0)</f>
        <v>0</v>
      </c>
      <c r="AB88" s="21">
        <f>IF(AQ88="1",BH88,0)</f>
        <v>0</v>
      </c>
      <c r="AC88" s="21">
        <f>IF(AQ88="1",BI88,0)</f>
        <v>0</v>
      </c>
      <c r="AD88" s="21">
        <f>IF(AQ88="7",BH88,0)</f>
        <v>0</v>
      </c>
      <c r="AE88" s="21">
        <f>IF(AQ88="7",BI88,0)</f>
        <v>0</v>
      </c>
      <c r="AF88" s="21">
        <f>IF(AQ88="2",BH88,0)</f>
        <v>0</v>
      </c>
      <c r="AG88" s="21">
        <f>IF(AQ88="2",BI88,0)</f>
        <v>0</v>
      </c>
      <c r="AH88" s="21">
        <f>IF(AQ88="0",BJ88,0)</f>
        <v>0</v>
      </c>
      <c r="AI88" s="10"/>
      <c r="AJ88" s="21">
        <f>IF(AN88=0,J88,0)</f>
        <v>0</v>
      </c>
      <c r="AK88" s="21">
        <f>IF(AN88=15,J88,0)</f>
        <v>0</v>
      </c>
      <c r="AL88" s="21">
        <f>IF(AN88=21,J88,0)</f>
        <v>0</v>
      </c>
      <c r="AN88" s="21">
        <v>21</v>
      </c>
      <c r="AO88" s="21">
        <f>G88*0.916914590979174</f>
        <v>0</v>
      </c>
      <c r="AP88" s="21">
        <f>G88*(1-0.916914590979174)</f>
        <v>0</v>
      </c>
      <c r="AQ88" s="23" t="s">
        <v>51</v>
      </c>
      <c r="AV88" s="21">
        <f>AW88+AX88</f>
        <v>0</v>
      </c>
      <c r="AW88" s="21">
        <f>F88*AO88</f>
        <v>0</v>
      </c>
      <c r="AX88" s="21">
        <f>F88*AP88</f>
        <v>0</v>
      </c>
      <c r="AY88" s="23" t="s">
        <v>136</v>
      </c>
      <c r="AZ88" s="23" t="s">
        <v>137</v>
      </c>
      <c r="BA88" s="10" t="s">
        <v>58</v>
      </c>
      <c r="BC88" s="21">
        <f>AW88+AX88</f>
        <v>0</v>
      </c>
      <c r="BD88" s="21">
        <f>G88/(100-BE88)*100</f>
        <v>0</v>
      </c>
      <c r="BE88" s="21">
        <v>0</v>
      </c>
      <c r="BF88" s="21">
        <f>L88</f>
        <v>12.7715</v>
      </c>
      <c r="BH88" s="21">
        <f>F88*AO88</f>
        <v>0</v>
      </c>
      <c r="BI88" s="21">
        <f>F88*AP88</f>
        <v>0</v>
      </c>
      <c r="BJ88" s="21">
        <f>F88*G88</f>
        <v>0</v>
      </c>
      <c r="BK88" s="21" t="s">
        <v>59</v>
      </c>
      <c r="BL88" s="21">
        <v>56</v>
      </c>
    </row>
    <row r="89" spans="1:14" ht="15">
      <c r="A89" s="2"/>
      <c r="C89" s="24" t="s">
        <v>177</v>
      </c>
      <c r="D89" s="24"/>
      <c r="F89" s="25">
        <v>25</v>
      </c>
      <c r="M89" s="26"/>
      <c r="N89" s="2"/>
    </row>
    <row r="90" spans="1:64" ht="15">
      <c r="A90" s="20" t="s">
        <v>198</v>
      </c>
      <c r="B90" s="3" t="s">
        <v>162</v>
      </c>
      <c r="C90" s="618" t="s">
        <v>163</v>
      </c>
      <c r="D90" s="608"/>
      <c r="E90" s="3" t="s">
        <v>54</v>
      </c>
      <c r="F90" s="21">
        <v>88</v>
      </c>
      <c r="G90" s="537"/>
      <c r="H90" s="21">
        <f>F90*AO90</f>
        <v>0</v>
      </c>
      <c r="I90" s="21">
        <f>F90*AP90</f>
        <v>0</v>
      </c>
      <c r="J90" s="21">
        <f>F90*G90</f>
        <v>0</v>
      </c>
      <c r="K90" s="21">
        <v>0.45977</v>
      </c>
      <c r="L90" s="21">
        <f>F90*K90</f>
        <v>40.45976</v>
      </c>
      <c r="M90" s="22" t="s">
        <v>55</v>
      </c>
      <c r="N90" s="2"/>
      <c r="Z90" s="21">
        <f>IF(AQ90="5",BJ90,0)</f>
        <v>0</v>
      </c>
      <c r="AB90" s="21">
        <f>IF(AQ90="1",BH90,0)</f>
        <v>0</v>
      </c>
      <c r="AC90" s="21">
        <f>IF(AQ90="1",BI90,0)</f>
        <v>0</v>
      </c>
      <c r="AD90" s="21">
        <f>IF(AQ90="7",BH90,0)</f>
        <v>0</v>
      </c>
      <c r="AE90" s="21">
        <f>IF(AQ90="7",BI90,0)</f>
        <v>0</v>
      </c>
      <c r="AF90" s="21">
        <f>IF(AQ90="2",BH90,0)</f>
        <v>0</v>
      </c>
      <c r="AG90" s="21">
        <f>IF(AQ90="2",BI90,0)</f>
        <v>0</v>
      </c>
      <c r="AH90" s="21">
        <f>IF(AQ90="0",BJ90,0)</f>
        <v>0</v>
      </c>
      <c r="AI90" s="10"/>
      <c r="AJ90" s="21">
        <f>IF(AN90=0,J90,0)</f>
        <v>0</v>
      </c>
      <c r="AK90" s="21">
        <f>IF(AN90=15,J90,0)</f>
        <v>0</v>
      </c>
      <c r="AL90" s="21">
        <f>IF(AN90=21,J90,0)</f>
        <v>0</v>
      </c>
      <c r="AN90" s="21">
        <v>21</v>
      </c>
      <c r="AO90" s="21">
        <f>G90*0.911726618705036</f>
        <v>0</v>
      </c>
      <c r="AP90" s="21">
        <f>G90*(1-0.911726618705036)</f>
        <v>0</v>
      </c>
      <c r="AQ90" s="23" t="s">
        <v>51</v>
      </c>
      <c r="AV90" s="21">
        <f>AW90+AX90</f>
        <v>0</v>
      </c>
      <c r="AW90" s="21">
        <f>F90*AO90</f>
        <v>0</v>
      </c>
      <c r="AX90" s="21">
        <f>F90*AP90</f>
        <v>0</v>
      </c>
      <c r="AY90" s="23" t="s">
        <v>136</v>
      </c>
      <c r="AZ90" s="23" t="s">
        <v>137</v>
      </c>
      <c r="BA90" s="10" t="s">
        <v>58</v>
      </c>
      <c r="BC90" s="21">
        <f>AW90+AX90</f>
        <v>0</v>
      </c>
      <c r="BD90" s="21">
        <f>G90/(100-BE90)*100</f>
        <v>0</v>
      </c>
      <c r="BE90" s="21">
        <v>0</v>
      </c>
      <c r="BF90" s="21">
        <f>L90</f>
        <v>40.45976</v>
      </c>
      <c r="BH90" s="21">
        <f>F90*AO90</f>
        <v>0</v>
      </c>
      <c r="BI90" s="21">
        <f>F90*AP90</f>
        <v>0</v>
      </c>
      <c r="BJ90" s="21">
        <f>F90*G90</f>
        <v>0</v>
      </c>
      <c r="BK90" s="21" t="s">
        <v>59</v>
      </c>
      <c r="BL90" s="21">
        <v>56</v>
      </c>
    </row>
    <row r="91" spans="1:14" ht="15">
      <c r="A91" s="2"/>
      <c r="C91" s="24" t="s">
        <v>665</v>
      </c>
      <c r="D91" s="24"/>
      <c r="F91" s="25">
        <v>88</v>
      </c>
      <c r="M91" s="26"/>
      <c r="N91" s="2"/>
    </row>
    <row r="92" spans="1:64" ht="15">
      <c r="A92" s="20" t="s">
        <v>206</v>
      </c>
      <c r="B92" s="3" t="s">
        <v>479</v>
      </c>
      <c r="C92" s="618" t="s">
        <v>480</v>
      </c>
      <c r="D92" s="608"/>
      <c r="E92" s="3" t="s">
        <v>54</v>
      </c>
      <c r="F92" s="21">
        <v>25</v>
      </c>
      <c r="G92" s="537"/>
      <c r="H92" s="21">
        <f>F92*AO92</f>
        <v>0</v>
      </c>
      <c r="I92" s="21">
        <f>F92*AP92</f>
        <v>0</v>
      </c>
      <c r="J92" s="21">
        <f>F92*G92</f>
        <v>0</v>
      </c>
      <c r="K92" s="21">
        <v>0.13188</v>
      </c>
      <c r="L92" s="21">
        <f>F92*K92</f>
        <v>3.2969999999999997</v>
      </c>
      <c r="M92" s="22" t="s">
        <v>55</v>
      </c>
      <c r="N92" s="2"/>
      <c r="Z92" s="21">
        <f>IF(AQ92="5",BJ92,0)</f>
        <v>0</v>
      </c>
      <c r="AB92" s="21">
        <f>IF(AQ92="1",BH92,0)</f>
        <v>0</v>
      </c>
      <c r="AC92" s="21">
        <f>IF(AQ92="1",BI92,0)</f>
        <v>0</v>
      </c>
      <c r="AD92" s="21">
        <f>IF(AQ92="7",BH92,0)</f>
        <v>0</v>
      </c>
      <c r="AE92" s="21">
        <f>IF(AQ92="7",BI92,0)</f>
        <v>0</v>
      </c>
      <c r="AF92" s="21">
        <f>IF(AQ92="2",BH92,0)</f>
        <v>0</v>
      </c>
      <c r="AG92" s="21">
        <f>IF(AQ92="2",BI92,0)</f>
        <v>0</v>
      </c>
      <c r="AH92" s="21">
        <f>IF(AQ92="0",BJ92,0)</f>
        <v>0</v>
      </c>
      <c r="AI92" s="10"/>
      <c r="AJ92" s="21">
        <f>IF(AN92=0,J92,0)</f>
        <v>0</v>
      </c>
      <c r="AK92" s="21">
        <f>IF(AN92=15,J92,0)</f>
        <v>0</v>
      </c>
      <c r="AL92" s="21">
        <f>IF(AN92=21,J92,0)</f>
        <v>0</v>
      </c>
      <c r="AN92" s="21">
        <v>21</v>
      </c>
      <c r="AO92" s="21">
        <f>G92*0.553270241850684</f>
        <v>0</v>
      </c>
      <c r="AP92" s="21">
        <f>G92*(1-0.553270241850684)</f>
        <v>0</v>
      </c>
      <c r="AQ92" s="23" t="s">
        <v>51</v>
      </c>
      <c r="AV92" s="21">
        <f>AW92+AX92</f>
        <v>0</v>
      </c>
      <c r="AW92" s="21">
        <f>F92*AO92</f>
        <v>0</v>
      </c>
      <c r="AX92" s="21">
        <f>F92*AP92</f>
        <v>0</v>
      </c>
      <c r="AY92" s="23" t="s">
        <v>136</v>
      </c>
      <c r="AZ92" s="23" t="s">
        <v>137</v>
      </c>
      <c r="BA92" s="10" t="s">
        <v>58</v>
      </c>
      <c r="BC92" s="21">
        <f>AW92+AX92</f>
        <v>0</v>
      </c>
      <c r="BD92" s="21">
        <f>G92/(100-BE92)*100</f>
        <v>0</v>
      </c>
      <c r="BE92" s="21">
        <v>0</v>
      </c>
      <c r="BF92" s="21">
        <f>L92</f>
        <v>3.2969999999999997</v>
      </c>
      <c r="BH92" s="21">
        <f>F92*AO92</f>
        <v>0</v>
      </c>
      <c r="BI92" s="21">
        <f>F92*AP92</f>
        <v>0</v>
      </c>
      <c r="BJ92" s="21">
        <f>F92*G92</f>
        <v>0</v>
      </c>
      <c r="BK92" s="21" t="s">
        <v>59</v>
      </c>
      <c r="BL92" s="21">
        <v>56</v>
      </c>
    </row>
    <row r="93" spans="1:14" ht="15">
      <c r="A93" s="2"/>
      <c r="B93" s="27" t="s">
        <v>138</v>
      </c>
      <c r="C93" s="639" t="s">
        <v>481</v>
      </c>
      <c r="D93" s="640"/>
      <c r="E93" s="640"/>
      <c r="F93" s="640"/>
      <c r="G93" s="640"/>
      <c r="H93" s="640"/>
      <c r="I93" s="640"/>
      <c r="J93" s="640"/>
      <c r="K93" s="640"/>
      <c r="L93" s="640"/>
      <c r="M93" s="641"/>
      <c r="N93" s="2"/>
    </row>
    <row r="94" spans="1:14" ht="15">
      <c r="A94" s="2"/>
      <c r="C94" s="24" t="s">
        <v>177</v>
      </c>
      <c r="D94" s="24"/>
      <c r="F94" s="25">
        <v>25</v>
      </c>
      <c r="M94" s="26"/>
      <c r="N94" s="2"/>
    </row>
    <row r="95" spans="1:47" ht="15">
      <c r="A95" s="41"/>
      <c r="B95" s="42" t="s">
        <v>175</v>
      </c>
      <c r="C95" s="637" t="s">
        <v>176</v>
      </c>
      <c r="D95" s="638"/>
      <c r="E95" s="43" t="s">
        <v>4</v>
      </c>
      <c r="F95" s="43" t="s">
        <v>4</v>
      </c>
      <c r="G95" s="43" t="s">
        <v>4</v>
      </c>
      <c r="H95" s="44">
        <f>SUM(H96:H101)</f>
        <v>0</v>
      </c>
      <c r="I95" s="44">
        <f>SUM(I96:I101)</f>
        <v>0</v>
      </c>
      <c r="J95" s="44">
        <f>SUM(J96:J101)</f>
        <v>0</v>
      </c>
      <c r="K95" s="45"/>
      <c r="L95" s="44">
        <f>SUM(L96:L101)</f>
        <v>14.20938</v>
      </c>
      <c r="M95" s="46"/>
      <c r="N95" s="2"/>
      <c r="AI95" s="10"/>
      <c r="AS95" s="19">
        <f>SUM(AJ96:AJ101)</f>
        <v>0</v>
      </c>
      <c r="AT95" s="19">
        <f>SUM(AK96:AK101)</f>
        <v>0</v>
      </c>
      <c r="AU95" s="19">
        <f>SUM(AL96:AL101)</f>
        <v>0</v>
      </c>
    </row>
    <row r="96" spans="1:64" ht="15">
      <c r="A96" s="20" t="s">
        <v>211</v>
      </c>
      <c r="B96" s="3" t="s">
        <v>182</v>
      </c>
      <c r="C96" s="618" t="s">
        <v>183</v>
      </c>
      <c r="D96" s="608"/>
      <c r="E96" s="3" t="s">
        <v>54</v>
      </c>
      <c r="F96" s="21">
        <v>153</v>
      </c>
      <c r="G96" s="537"/>
      <c r="H96" s="21">
        <f>F96*AO96</f>
        <v>0</v>
      </c>
      <c r="I96" s="21">
        <f>F96*AP96</f>
        <v>0</v>
      </c>
      <c r="J96" s="21">
        <f>F96*G96</f>
        <v>0</v>
      </c>
      <c r="K96" s="21">
        <v>0.0005</v>
      </c>
      <c r="L96" s="21">
        <f>F96*K96</f>
        <v>0.0765</v>
      </c>
      <c r="M96" s="22" t="s">
        <v>55</v>
      </c>
      <c r="N96" s="2"/>
      <c r="Z96" s="21">
        <f>IF(AQ96="5",BJ96,0)</f>
        <v>0</v>
      </c>
      <c r="AB96" s="21">
        <f>IF(AQ96="1",BH96,0)</f>
        <v>0</v>
      </c>
      <c r="AC96" s="21">
        <f>IF(AQ96="1",BI96,0)</f>
        <v>0</v>
      </c>
      <c r="AD96" s="21">
        <f>IF(AQ96="7",BH96,0)</f>
        <v>0</v>
      </c>
      <c r="AE96" s="21">
        <f>IF(AQ96="7",BI96,0)</f>
        <v>0</v>
      </c>
      <c r="AF96" s="21">
        <f>IF(AQ96="2",BH96,0)</f>
        <v>0</v>
      </c>
      <c r="AG96" s="21">
        <f>IF(AQ96="2",BI96,0)</f>
        <v>0</v>
      </c>
      <c r="AH96" s="21">
        <f>IF(AQ96="0",BJ96,0)</f>
        <v>0</v>
      </c>
      <c r="AI96" s="10"/>
      <c r="AJ96" s="21">
        <f>IF(AN96=0,J96,0)</f>
        <v>0</v>
      </c>
      <c r="AK96" s="21">
        <f>IF(AN96=15,J96,0)</f>
        <v>0</v>
      </c>
      <c r="AL96" s="21">
        <f>IF(AN96=21,J96,0)</f>
        <v>0</v>
      </c>
      <c r="AN96" s="21">
        <v>21</v>
      </c>
      <c r="AO96" s="21">
        <f>G96*0.855054811205846</f>
        <v>0</v>
      </c>
      <c r="AP96" s="21">
        <f>G96*(1-0.855054811205846)</f>
        <v>0</v>
      </c>
      <c r="AQ96" s="23" t="s">
        <v>51</v>
      </c>
      <c r="AV96" s="21">
        <f>AW96+AX96</f>
        <v>0</v>
      </c>
      <c r="AW96" s="21">
        <f>F96*AO96</f>
        <v>0</v>
      </c>
      <c r="AX96" s="21">
        <f>F96*AP96</f>
        <v>0</v>
      </c>
      <c r="AY96" s="23" t="s">
        <v>180</v>
      </c>
      <c r="AZ96" s="23" t="s">
        <v>137</v>
      </c>
      <c r="BA96" s="10" t="s">
        <v>58</v>
      </c>
      <c r="BC96" s="21">
        <f>AW96+AX96</f>
        <v>0</v>
      </c>
      <c r="BD96" s="21">
        <f>G96/(100-BE96)*100</f>
        <v>0</v>
      </c>
      <c r="BE96" s="21">
        <v>0</v>
      </c>
      <c r="BF96" s="21">
        <f>L96</f>
        <v>0.0765</v>
      </c>
      <c r="BH96" s="21">
        <f>F96*AO96</f>
        <v>0</v>
      </c>
      <c r="BI96" s="21">
        <f>F96*AP96</f>
        <v>0</v>
      </c>
      <c r="BJ96" s="21">
        <f>F96*G96</f>
        <v>0</v>
      </c>
      <c r="BK96" s="21" t="s">
        <v>59</v>
      </c>
      <c r="BL96" s="21">
        <v>57</v>
      </c>
    </row>
    <row r="97" spans="1:14" ht="15">
      <c r="A97" s="2"/>
      <c r="C97" s="24" t="s">
        <v>666</v>
      </c>
      <c r="D97" s="24"/>
      <c r="F97" s="25">
        <v>153</v>
      </c>
      <c r="M97" s="26"/>
      <c r="N97" s="2"/>
    </row>
    <row r="98" spans="1:64" ht="15">
      <c r="A98" s="20" t="s">
        <v>108</v>
      </c>
      <c r="B98" s="3" t="s">
        <v>483</v>
      </c>
      <c r="C98" s="618" t="s">
        <v>484</v>
      </c>
      <c r="D98" s="608"/>
      <c r="E98" s="3" t="s">
        <v>54</v>
      </c>
      <c r="F98" s="21">
        <v>73</v>
      </c>
      <c r="G98" s="537"/>
      <c r="H98" s="21">
        <f>F98*AO98</f>
        <v>0</v>
      </c>
      <c r="I98" s="21">
        <f>F98*AP98</f>
        <v>0</v>
      </c>
      <c r="J98" s="21">
        <f>F98*G98</f>
        <v>0</v>
      </c>
      <c r="K98" s="21">
        <v>0.12966</v>
      </c>
      <c r="L98" s="21">
        <f>F98*K98</f>
        <v>9.46518</v>
      </c>
      <c r="M98" s="22" t="s">
        <v>55</v>
      </c>
      <c r="N98" s="2"/>
      <c r="Z98" s="21">
        <f>IF(AQ98="5",BJ98,0)</f>
        <v>0</v>
      </c>
      <c r="AB98" s="21">
        <f>IF(AQ98="1",BH98,0)</f>
        <v>0</v>
      </c>
      <c r="AC98" s="21">
        <f>IF(AQ98="1",BI98,0)</f>
        <v>0</v>
      </c>
      <c r="AD98" s="21">
        <f>IF(AQ98="7",BH98,0)</f>
        <v>0</v>
      </c>
      <c r="AE98" s="21">
        <f>IF(AQ98="7",BI98,0)</f>
        <v>0</v>
      </c>
      <c r="AF98" s="21">
        <f>IF(AQ98="2",BH98,0)</f>
        <v>0</v>
      </c>
      <c r="AG98" s="21">
        <f>IF(AQ98="2",BI98,0)</f>
        <v>0</v>
      </c>
      <c r="AH98" s="21">
        <f>IF(AQ98="0",BJ98,0)</f>
        <v>0</v>
      </c>
      <c r="AI98" s="10"/>
      <c r="AJ98" s="21">
        <f>IF(AN98=0,J98,0)</f>
        <v>0</v>
      </c>
      <c r="AK98" s="21">
        <f>IF(AN98=15,J98,0)</f>
        <v>0</v>
      </c>
      <c r="AL98" s="21">
        <f>IF(AN98=21,J98,0)</f>
        <v>0</v>
      </c>
      <c r="AN98" s="21">
        <v>21</v>
      </c>
      <c r="AO98" s="21">
        <f>G98*0.611657032755299</f>
        <v>0</v>
      </c>
      <c r="AP98" s="21">
        <f>G98*(1-0.611657032755299)</f>
        <v>0</v>
      </c>
      <c r="AQ98" s="23" t="s">
        <v>51</v>
      </c>
      <c r="AV98" s="21">
        <f>AW98+AX98</f>
        <v>0</v>
      </c>
      <c r="AW98" s="21">
        <f>F98*AO98</f>
        <v>0</v>
      </c>
      <c r="AX98" s="21">
        <f>F98*AP98</f>
        <v>0</v>
      </c>
      <c r="AY98" s="23" t="s">
        <v>180</v>
      </c>
      <c r="AZ98" s="23" t="s">
        <v>137</v>
      </c>
      <c r="BA98" s="10" t="s">
        <v>58</v>
      </c>
      <c r="BC98" s="21">
        <f>AW98+AX98</f>
        <v>0</v>
      </c>
      <c r="BD98" s="21">
        <f>G98/(100-BE98)*100</f>
        <v>0</v>
      </c>
      <c r="BE98" s="21">
        <v>0</v>
      </c>
      <c r="BF98" s="21">
        <f>L98</f>
        <v>9.46518</v>
      </c>
      <c r="BH98" s="21">
        <f>F98*AO98</f>
        <v>0</v>
      </c>
      <c r="BI98" s="21">
        <f>F98*AP98</f>
        <v>0</v>
      </c>
      <c r="BJ98" s="21">
        <f>F98*G98</f>
        <v>0</v>
      </c>
      <c r="BK98" s="21" t="s">
        <v>59</v>
      </c>
      <c r="BL98" s="21">
        <v>57</v>
      </c>
    </row>
    <row r="99" spans="1:14" ht="15">
      <c r="A99" s="2"/>
      <c r="B99" s="27" t="s">
        <v>138</v>
      </c>
      <c r="C99" s="639" t="s">
        <v>481</v>
      </c>
      <c r="D99" s="640"/>
      <c r="E99" s="640"/>
      <c r="F99" s="640"/>
      <c r="G99" s="640"/>
      <c r="H99" s="640"/>
      <c r="I99" s="640"/>
      <c r="J99" s="640"/>
      <c r="K99" s="640"/>
      <c r="L99" s="640"/>
      <c r="M99" s="641"/>
      <c r="N99" s="2"/>
    </row>
    <row r="100" spans="1:14" ht="15">
      <c r="A100" s="2"/>
      <c r="C100" s="24" t="s">
        <v>667</v>
      </c>
      <c r="D100" s="24"/>
      <c r="F100" s="25">
        <v>73</v>
      </c>
      <c r="M100" s="26"/>
      <c r="N100" s="2"/>
    </row>
    <row r="101" spans="1:64" ht="15">
      <c r="A101" s="20" t="s">
        <v>221</v>
      </c>
      <c r="B101" s="3" t="s">
        <v>485</v>
      </c>
      <c r="C101" s="618" t="s">
        <v>486</v>
      </c>
      <c r="D101" s="608"/>
      <c r="E101" s="3" t="s">
        <v>54</v>
      </c>
      <c r="F101" s="21">
        <v>30</v>
      </c>
      <c r="G101" s="537"/>
      <c r="H101" s="21">
        <f>F101*AO101</f>
        <v>0</v>
      </c>
      <c r="I101" s="21">
        <f>F101*AP101</f>
        <v>0</v>
      </c>
      <c r="J101" s="21">
        <f>F101*G101</f>
        <v>0</v>
      </c>
      <c r="K101" s="21">
        <v>0.15559</v>
      </c>
      <c r="L101" s="21">
        <f>F101*K101</f>
        <v>4.6677</v>
      </c>
      <c r="M101" s="22" t="s">
        <v>55</v>
      </c>
      <c r="N101" s="2"/>
      <c r="Z101" s="21">
        <f>IF(AQ101="5",BJ101,0)</f>
        <v>0</v>
      </c>
      <c r="AB101" s="21">
        <f>IF(AQ101="1",BH101,0)</f>
        <v>0</v>
      </c>
      <c r="AC101" s="21">
        <f>IF(AQ101="1",BI101,0)</f>
        <v>0</v>
      </c>
      <c r="AD101" s="21">
        <f>IF(AQ101="7",BH101,0)</f>
        <v>0</v>
      </c>
      <c r="AE101" s="21">
        <f>IF(AQ101="7",BI101,0)</f>
        <v>0</v>
      </c>
      <c r="AF101" s="21">
        <f>IF(AQ101="2",BH101,0)</f>
        <v>0</v>
      </c>
      <c r="AG101" s="21">
        <f>IF(AQ101="2",BI101,0)</f>
        <v>0</v>
      </c>
      <c r="AH101" s="21">
        <f>IF(AQ101="0",BJ101,0)</f>
        <v>0</v>
      </c>
      <c r="AI101" s="10"/>
      <c r="AJ101" s="21">
        <f>IF(AN101=0,J101,0)</f>
        <v>0</v>
      </c>
      <c r="AK101" s="21">
        <f>IF(AN101=15,J101,0)</f>
        <v>0</v>
      </c>
      <c r="AL101" s="21">
        <f>IF(AN101=21,J101,0)</f>
        <v>0</v>
      </c>
      <c r="AN101" s="21">
        <v>21</v>
      </c>
      <c r="AO101" s="21">
        <f>G101*0.626984924623116</f>
        <v>0</v>
      </c>
      <c r="AP101" s="21">
        <f>G101*(1-0.626984924623116)</f>
        <v>0</v>
      </c>
      <c r="AQ101" s="23" t="s">
        <v>51</v>
      </c>
      <c r="AV101" s="21">
        <f>AW101+AX101</f>
        <v>0</v>
      </c>
      <c r="AW101" s="21">
        <f>F101*AO101</f>
        <v>0</v>
      </c>
      <c r="AX101" s="21">
        <f>F101*AP101</f>
        <v>0</v>
      </c>
      <c r="AY101" s="23" t="s">
        <v>180</v>
      </c>
      <c r="AZ101" s="23" t="s">
        <v>137</v>
      </c>
      <c r="BA101" s="10" t="s">
        <v>58</v>
      </c>
      <c r="BC101" s="21">
        <f>AW101+AX101</f>
        <v>0</v>
      </c>
      <c r="BD101" s="21">
        <f>G101/(100-BE101)*100</f>
        <v>0</v>
      </c>
      <c r="BE101" s="21">
        <v>0</v>
      </c>
      <c r="BF101" s="21">
        <f>L101</f>
        <v>4.6677</v>
      </c>
      <c r="BH101" s="21">
        <f>F101*AO101</f>
        <v>0</v>
      </c>
      <c r="BI101" s="21">
        <f>F101*AP101</f>
        <v>0</v>
      </c>
      <c r="BJ101" s="21">
        <f>F101*G101</f>
        <v>0</v>
      </c>
      <c r="BK101" s="21" t="s">
        <v>59</v>
      </c>
      <c r="BL101" s="21">
        <v>57</v>
      </c>
    </row>
    <row r="102" spans="1:14" ht="15">
      <c r="A102" s="2"/>
      <c r="B102" s="27" t="s">
        <v>138</v>
      </c>
      <c r="C102" s="639" t="s">
        <v>481</v>
      </c>
      <c r="D102" s="640"/>
      <c r="E102" s="640"/>
      <c r="F102" s="640"/>
      <c r="G102" s="640"/>
      <c r="H102" s="640"/>
      <c r="I102" s="640"/>
      <c r="J102" s="640"/>
      <c r="K102" s="640"/>
      <c r="L102" s="640"/>
      <c r="M102" s="641"/>
      <c r="N102" s="2"/>
    </row>
    <row r="103" spans="1:14" ht="15">
      <c r="A103" s="2"/>
      <c r="C103" s="24" t="s">
        <v>211</v>
      </c>
      <c r="D103" s="24"/>
      <c r="F103" s="25">
        <v>30</v>
      </c>
      <c r="M103" s="26"/>
      <c r="N103" s="2"/>
    </row>
    <row r="104" spans="1:47" ht="15">
      <c r="A104" s="41"/>
      <c r="B104" s="42" t="s">
        <v>341</v>
      </c>
      <c r="C104" s="637" t="s">
        <v>668</v>
      </c>
      <c r="D104" s="638"/>
      <c r="E104" s="43" t="s">
        <v>4</v>
      </c>
      <c r="F104" s="43" t="s">
        <v>4</v>
      </c>
      <c r="G104" s="43" t="s">
        <v>4</v>
      </c>
      <c r="H104" s="44">
        <f>SUM(H105:H107)</f>
        <v>0</v>
      </c>
      <c r="I104" s="44">
        <f>SUM(I105:I107)</f>
        <v>0</v>
      </c>
      <c r="J104" s="44">
        <f>SUM(J105:J107)</f>
        <v>0</v>
      </c>
      <c r="K104" s="45"/>
      <c r="L104" s="44">
        <f>SUM(L105:L107)</f>
        <v>50.18464</v>
      </c>
      <c r="M104" s="46"/>
      <c r="N104" s="2"/>
      <c r="AI104" s="10"/>
      <c r="AS104" s="19">
        <f>SUM(AJ105:AJ107)</f>
        <v>0</v>
      </c>
      <c r="AT104" s="19">
        <f>SUM(AK105:AK107)</f>
        <v>0</v>
      </c>
      <c r="AU104" s="19">
        <f>SUM(AL105:AL107)</f>
        <v>0</v>
      </c>
    </row>
    <row r="105" spans="1:64" ht="15">
      <c r="A105" s="20" t="s">
        <v>226</v>
      </c>
      <c r="B105" s="3" t="s">
        <v>669</v>
      </c>
      <c r="C105" s="618" t="s">
        <v>670</v>
      </c>
      <c r="D105" s="608"/>
      <c r="E105" s="3" t="s">
        <v>54</v>
      </c>
      <c r="F105" s="21">
        <v>88</v>
      </c>
      <c r="G105" s="537"/>
      <c r="H105" s="21">
        <f>F105*AO105</f>
        <v>0</v>
      </c>
      <c r="I105" s="21">
        <f>F105*AP105</f>
        <v>0</v>
      </c>
      <c r="J105" s="21">
        <f>F105*G105</f>
        <v>0</v>
      </c>
      <c r="K105" s="21">
        <v>0.57028</v>
      </c>
      <c r="L105" s="21">
        <f>F105*K105</f>
        <v>50.18464</v>
      </c>
      <c r="M105" s="22" t="s">
        <v>55</v>
      </c>
      <c r="N105" s="2"/>
      <c r="Z105" s="21">
        <f>IF(AQ105="5",BJ105,0)</f>
        <v>0</v>
      </c>
      <c r="AB105" s="21">
        <f>IF(AQ105="1",BH105,0)</f>
        <v>0</v>
      </c>
      <c r="AC105" s="21">
        <f>IF(AQ105="1",BI105,0)</f>
        <v>0</v>
      </c>
      <c r="AD105" s="21">
        <f>IF(AQ105="7",BH105,0)</f>
        <v>0</v>
      </c>
      <c r="AE105" s="21">
        <f>IF(AQ105="7",BI105,0)</f>
        <v>0</v>
      </c>
      <c r="AF105" s="21">
        <f>IF(AQ105="2",BH105,0)</f>
        <v>0</v>
      </c>
      <c r="AG105" s="21">
        <f>IF(AQ105="2",BI105,0)</f>
        <v>0</v>
      </c>
      <c r="AH105" s="21">
        <f>IF(AQ105="0",BJ105,0)</f>
        <v>0</v>
      </c>
      <c r="AI105" s="10"/>
      <c r="AJ105" s="21">
        <f>IF(AN105=0,J105,0)</f>
        <v>0</v>
      </c>
      <c r="AK105" s="21">
        <f>IF(AN105=15,J105,0)</f>
        <v>0</v>
      </c>
      <c r="AL105" s="21">
        <f>IF(AN105=21,J105,0)</f>
        <v>0</v>
      </c>
      <c r="AN105" s="21">
        <v>21</v>
      </c>
      <c r="AO105" s="21">
        <f>G105*0.956650660264106</f>
        <v>0</v>
      </c>
      <c r="AP105" s="21">
        <f>G105*(1-0.956650660264106)</f>
        <v>0</v>
      </c>
      <c r="AQ105" s="23" t="s">
        <v>51</v>
      </c>
      <c r="AV105" s="21">
        <f>AW105+AX105</f>
        <v>0</v>
      </c>
      <c r="AW105" s="21">
        <f>F105*AO105</f>
        <v>0</v>
      </c>
      <c r="AX105" s="21">
        <f>F105*AP105</f>
        <v>0</v>
      </c>
      <c r="AY105" s="23" t="s">
        <v>671</v>
      </c>
      <c r="AZ105" s="23" t="s">
        <v>137</v>
      </c>
      <c r="BA105" s="10" t="s">
        <v>58</v>
      </c>
      <c r="BC105" s="21">
        <f>AW105+AX105</f>
        <v>0</v>
      </c>
      <c r="BD105" s="21">
        <f>G105/(100-BE105)*100</f>
        <v>0</v>
      </c>
      <c r="BE105" s="21">
        <v>0</v>
      </c>
      <c r="BF105" s="21">
        <f>L105</f>
        <v>50.18464</v>
      </c>
      <c r="BH105" s="21">
        <f>F105*AO105</f>
        <v>0</v>
      </c>
      <c r="BI105" s="21">
        <f>F105*AP105</f>
        <v>0</v>
      </c>
      <c r="BJ105" s="21">
        <f>F105*G105</f>
        <v>0</v>
      </c>
      <c r="BK105" s="21" t="s">
        <v>59</v>
      </c>
      <c r="BL105" s="21">
        <v>58</v>
      </c>
    </row>
    <row r="106" spans="1:14" ht="15">
      <c r="A106" s="2"/>
      <c r="C106" s="24" t="s">
        <v>665</v>
      </c>
      <c r="D106" s="24"/>
      <c r="F106" s="25">
        <v>88</v>
      </c>
      <c r="M106" s="26"/>
      <c r="N106" s="2"/>
    </row>
    <row r="107" spans="1:64" ht="15">
      <c r="A107" s="20" t="s">
        <v>229</v>
      </c>
      <c r="B107" s="3" t="s">
        <v>672</v>
      </c>
      <c r="C107" s="618" t="s">
        <v>673</v>
      </c>
      <c r="D107" s="608"/>
      <c r="E107" s="3" t="s">
        <v>81</v>
      </c>
      <c r="F107" s="21">
        <v>19.36</v>
      </c>
      <c r="G107" s="537"/>
      <c r="H107" s="21">
        <f>F107*AO107</f>
        <v>0</v>
      </c>
      <c r="I107" s="21">
        <f>F107*AP107</f>
        <v>0</v>
      </c>
      <c r="J107" s="21">
        <f>F107*G107</f>
        <v>0</v>
      </c>
      <c r="K107" s="21">
        <v>0</v>
      </c>
      <c r="L107" s="21">
        <f>F107*K107</f>
        <v>0</v>
      </c>
      <c r="M107" s="539" t="s">
        <v>2130</v>
      </c>
      <c r="N107" s="2"/>
      <c r="Z107" s="21">
        <f>IF(AQ107="5",BJ107,0)</f>
        <v>0</v>
      </c>
      <c r="AB107" s="21">
        <f>IF(AQ107="1",BH107,0)</f>
        <v>0</v>
      </c>
      <c r="AC107" s="21">
        <f>IF(AQ107="1",BI107,0)</f>
        <v>0</v>
      </c>
      <c r="AD107" s="21">
        <f>IF(AQ107="7",BH107,0)</f>
        <v>0</v>
      </c>
      <c r="AE107" s="21">
        <f>IF(AQ107="7",BI107,0)</f>
        <v>0</v>
      </c>
      <c r="AF107" s="21">
        <f>IF(AQ107="2",BH107,0)</f>
        <v>0</v>
      </c>
      <c r="AG107" s="21">
        <f>IF(AQ107="2",BI107,0)</f>
        <v>0</v>
      </c>
      <c r="AH107" s="21">
        <f>IF(AQ107="0",BJ107,0)</f>
        <v>0</v>
      </c>
      <c r="AI107" s="10"/>
      <c r="AJ107" s="21">
        <f>IF(AN107=0,J107,0)</f>
        <v>0</v>
      </c>
      <c r="AK107" s="21">
        <f>IF(AN107=15,J107,0)</f>
        <v>0</v>
      </c>
      <c r="AL107" s="21">
        <f>IF(AN107=21,J107,0)</f>
        <v>0</v>
      </c>
      <c r="AN107" s="21">
        <v>21</v>
      </c>
      <c r="AO107" s="21">
        <f>G107*1</f>
        <v>0</v>
      </c>
      <c r="AP107" s="21">
        <f>G107*(1-1)</f>
        <v>0</v>
      </c>
      <c r="AQ107" s="23" t="s">
        <v>51</v>
      </c>
      <c r="AV107" s="21">
        <f>AW107+AX107</f>
        <v>0</v>
      </c>
      <c r="AW107" s="21">
        <f>F107*AO107</f>
        <v>0</v>
      </c>
      <c r="AX107" s="21">
        <f>F107*AP107</f>
        <v>0</v>
      </c>
      <c r="AY107" s="23" t="s">
        <v>671</v>
      </c>
      <c r="AZ107" s="23" t="s">
        <v>137</v>
      </c>
      <c r="BA107" s="10" t="s">
        <v>58</v>
      </c>
      <c r="BC107" s="21">
        <f>AW107+AX107</f>
        <v>0</v>
      </c>
      <c r="BD107" s="21">
        <f>G107/(100-BE107)*100</f>
        <v>0</v>
      </c>
      <c r="BE107" s="21">
        <v>0</v>
      </c>
      <c r="BF107" s="21">
        <f>L107</f>
        <v>0</v>
      </c>
      <c r="BH107" s="21">
        <f>F107*AO107</f>
        <v>0</v>
      </c>
      <c r="BI107" s="21">
        <f>F107*AP107</f>
        <v>0</v>
      </c>
      <c r="BJ107" s="21">
        <f>F107*G107</f>
        <v>0</v>
      </c>
      <c r="BK107" s="21" t="s">
        <v>201</v>
      </c>
      <c r="BL107" s="21">
        <v>58</v>
      </c>
    </row>
    <row r="108" spans="1:14" ht="15">
      <c r="A108" s="2"/>
      <c r="C108" s="24" t="s">
        <v>674</v>
      </c>
      <c r="D108" s="24"/>
      <c r="F108" s="25">
        <v>19.36</v>
      </c>
      <c r="M108" s="26"/>
      <c r="N108" s="2"/>
    </row>
    <row r="109" spans="1:47" ht="15">
      <c r="A109" s="41"/>
      <c r="B109" s="42" t="s">
        <v>185</v>
      </c>
      <c r="C109" s="637" t="s">
        <v>186</v>
      </c>
      <c r="D109" s="638"/>
      <c r="E109" s="43" t="s">
        <v>4</v>
      </c>
      <c r="F109" s="43" t="s">
        <v>4</v>
      </c>
      <c r="G109" s="43" t="s">
        <v>4</v>
      </c>
      <c r="H109" s="44">
        <f>SUM(H110:H214)</f>
        <v>0</v>
      </c>
      <c r="I109" s="44">
        <f>SUM(I110:I214)</f>
        <v>0</v>
      </c>
      <c r="J109" s="44">
        <f>SUM(J110:J214)</f>
        <v>0</v>
      </c>
      <c r="K109" s="45"/>
      <c r="L109" s="44">
        <f>SUM(L110:L214)</f>
        <v>288.30256225</v>
      </c>
      <c r="M109" s="46"/>
      <c r="N109" s="2"/>
      <c r="AI109" s="10"/>
      <c r="AS109" s="19">
        <f>SUM(AJ110:AJ214)</f>
        <v>0</v>
      </c>
      <c r="AT109" s="19">
        <f>SUM(AK110:AK214)</f>
        <v>0</v>
      </c>
      <c r="AU109" s="19">
        <f>SUM(AL110:AL214)</f>
        <v>0</v>
      </c>
    </row>
    <row r="110" spans="1:64" ht="15">
      <c r="A110" s="20" t="s">
        <v>112</v>
      </c>
      <c r="B110" s="3" t="s">
        <v>188</v>
      </c>
      <c r="C110" s="618" t="s">
        <v>189</v>
      </c>
      <c r="D110" s="608"/>
      <c r="E110" s="3" t="s">
        <v>54</v>
      </c>
      <c r="F110" s="21">
        <v>469.5</v>
      </c>
      <c r="G110" s="537"/>
      <c r="H110" s="21">
        <f>F110*AO110</f>
        <v>0</v>
      </c>
      <c r="I110" s="21">
        <f>F110*AP110</f>
        <v>0</v>
      </c>
      <c r="J110" s="21">
        <f>F110*G110</f>
        <v>0</v>
      </c>
      <c r="K110" s="21">
        <v>0.0739</v>
      </c>
      <c r="L110" s="21">
        <f>F110*K110</f>
        <v>34.69605</v>
      </c>
      <c r="M110" s="22" t="s">
        <v>55</v>
      </c>
      <c r="N110" s="2"/>
      <c r="Z110" s="21">
        <f>IF(AQ110="5",BJ110,0)</f>
        <v>0</v>
      </c>
      <c r="AB110" s="21">
        <f>IF(AQ110="1",BH110,0)</f>
        <v>0</v>
      </c>
      <c r="AC110" s="21">
        <f>IF(AQ110="1",BI110,0)</f>
        <v>0</v>
      </c>
      <c r="AD110" s="21">
        <f>IF(AQ110="7",BH110,0)</f>
        <v>0</v>
      </c>
      <c r="AE110" s="21">
        <f>IF(AQ110="7",BI110,0)</f>
        <v>0</v>
      </c>
      <c r="AF110" s="21">
        <f>IF(AQ110="2",BH110,0)</f>
        <v>0</v>
      </c>
      <c r="AG110" s="21">
        <f>IF(AQ110="2",BI110,0)</f>
        <v>0</v>
      </c>
      <c r="AH110" s="21">
        <f>IF(AQ110="0",BJ110,0)</f>
        <v>0</v>
      </c>
      <c r="AI110" s="10"/>
      <c r="AJ110" s="21">
        <f>IF(AN110=0,J110,0)</f>
        <v>0</v>
      </c>
      <c r="AK110" s="21">
        <f>IF(AN110=15,J110,0)</f>
        <v>0</v>
      </c>
      <c r="AL110" s="21">
        <f>IF(AN110=21,J110,0)</f>
        <v>0</v>
      </c>
      <c r="AN110" s="21">
        <v>21</v>
      </c>
      <c r="AO110" s="21">
        <f>G110*0.144991452991453</f>
        <v>0</v>
      </c>
      <c r="AP110" s="21">
        <f>G110*(1-0.144991452991453)</f>
        <v>0</v>
      </c>
      <c r="AQ110" s="23" t="s">
        <v>51</v>
      </c>
      <c r="AV110" s="21">
        <f>AW110+AX110</f>
        <v>0</v>
      </c>
      <c r="AW110" s="21">
        <f>F110*AO110</f>
        <v>0</v>
      </c>
      <c r="AX110" s="21">
        <f>F110*AP110</f>
        <v>0</v>
      </c>
      <c r="AY110" s="23" t="s">
        <v>190</v>
      </c>
      <c r="AZ110" s="23" t="s">
        <v>137</v>
      </c>
      <c r="BA110" s="10" t="s">
        <v>58</v>
      </c>
      <c r="BC110" s="21">
        <f>AW110+AX110</f>
        <v>0</v>
      </c>
      <c r="BD110" s="21">
        <f>G110/(100-BE110)*100</f>
        <v>0</v>
      </c>
      <c r="BE110" s="21">
        <v>0</v>
      </c>
      <c r="BF110" s="21">
        <f>L110</f>
        <v>34.69605</v>
      </c>
      <c r="BH110" s="21">
        <f>F110*AO110</f>
        <v>0</v>
      </c>
      <c r="BI110" s="21">
        <f>F110*AP110</f>
        <v>0</v>
      </c>
      <c r="BJ110" s="21">
        <f>F110*G110</f>
        <v>0</v>
      </c>
      <c r="BK110" s="21" t="s">
        <v>59</v>
      </c>
      <c r="BL110" s="21">
        <v>59</v>
      </c>
    </row>
    <row r="111" spans="1:14" ht="15">
      <c r="A111" s="2"/>
      <c r="C111" s="24" t="s">
        <v>487</v>
      </c>
      <c r="D111" s="24"/>
      <c r="F111" s="25">
        <v>469.5</v>
      </c>
      <c r="M111" s="26"/>
      <c r="N111" s="2"/>
    </row>
    <row r="112" spans="1:14" ht="25.65" customHeight="1">
      <c r="A112" s="2"/>
      <c r="B112" s="27" t="s">
        <v>61</v>
      </c>
      <c r="C112" s="634" t="s">
        <v>197</v>
      </c>
      <c r="D112" s="635"/>
      <c r="E112" s="635"/>
      <c r="F112" s="635"/>
      <c r="G112" s="635"/>
      <c r="H112" s="635"/>
      <c r="I112" s="635"/>
      <c r="J112" s="635"/>
      <c r="K112" s="635"/>
      <c r="L112" s="635"/>
      <c r="M112" s="636"/>
      <c r="N112" s="2"/>
    </row>
    <row r="113" spans="1:64" ht="15">
      <c r="A113" s="20" t="s">
        <v>237</v>
      </c>
      <c r="B113" s="3" t="s">
        <v>199</v>
      </c>
      <c r="C113" s="618" t="s">
        <v>200</v>
      </c>
      <c r="D113" s="608"/>
      <c r="E113" s="3" t="s">
        <v>54</v>
      </c>
      <c r="F113" s="21">
        <v>74.55</v>
      </c>
      <c r="G113" s="537"/>
      <c r="H113" s="21">
        <f>F113*AO113</f>
        <v>0</v>
      </c>
      <c r="I113" s="21">
        <f>F113*AP113</f>
        <v>0</v>
      </c>
      <c r="J113" s="21">
        <f>F113*G113</f>
        <v>0</v>
      </c>
      <c r="K113" s="21">
        <v>0.188</v>
      </c>
      <c r="L113" s="21">
        <f>F113*K113</f>
        <v>14.0154</v>
      </c>
      <c r="M113" s="22" t="s">
        <v>55</v>
      </c>
      <c r="N113" s="2"/>
      <c r="Z113" s="21">
        <f>IF(AQ113="5",BJ113,0)</f>
        <v>0</v>
      </c>
      <c r="AB113" s="21">
        <f>IF(AQ113="1",BH113,0)</f>
        <v>0</v>
      </c>
      <c r="AC113" s="21">
        <f>IF(AQ113="1",BI113,0)</f>
        <v>0</v>
      </c>
      <c r="AD113" s="21">
        <f>IF(AQ113="7",BH113,0)</f>
        <v>0</v>
      </c>
      <c r="AE113" s="21">
        <f>IF(AQ113="7",BI113,0)</f>
        <v>0</v>
      </c>
      <c r="AF113" s="21">
        <f>IF(AQ113="2",BH113,0)</f>
        <v>0</v>
      </c>
      <c r="AG113" s="21">
        <f>IF(AQ113="2",BI113,0)</f>
        <v>0</v>
      </c>
      <c r="AH113" s="21">
        <f>IF(AQ113="0",BJ113,0)</f>
        <v>0</v>
      </c>
      <c r="AI113" s="10"/>
      <c r="AJ113" s="21">
        <f>IF(AN113=0,J113,0)</f>
        <v>0</v>
      </c>
      <c r="AK113" s="21">
        <f>IF(AN113=15,J113,0)</f>
        <v>0</v>
      </c>
      <c r="AL113" s="21">
        <f>IF(AN113=21,J113,0)</f>
        <v>0</v>
      </c>
      <c r="AN113" s="21">
        <v>21</v>
      </c>
      <c r="AO113" s="21">
        <f>G113*1</f>
        <v>0</v>
      </c>
      <c r="AP113" s="21">
        <f>G113*(1-1)</f>
        <v>0</v>
      </c>
      <c r="AQ113" s="23" t="s">
        <v>51</v>
      </c>
      <c r="AV113" s="21">
        <f>AW113+AX113</f>
        <v>0</v>
      </c>
      <c r="AW113" s="21">
        <f>F113*AO113</f>
        <v>0</v>
      </c>
      <c r="AX113" s="21">
        <f>F113*AP113</f>
        <v>0</v>
      </c>
      <c r="AY113" s="23" t="s">
        <v>190</v>
      </c>
      <c r="AZ113" s="23" t="s">
        <v>137</v>
      </c>
      <c r="BA113" s="10" t="s">
        <v>58</v>
      </c>
      <c r="BC113" s="21">
        <f>AW113+AX113</f>
        <v>0</v>
      </c>
      <c r="BD113" s="21">
        <f>G113/(100-BE113)*100</f>
        <v>0</v>
      </c>
      <c r="BE113" s="21">
        <v>0</v>
      </c>
      <c r="BF113" s="21">
        <f>L113</f>
        <v>14.0154</v>
      </c>
      <c r="BH113" s="21">
        <f>F113*AO113</f>
        <v>0</v>
      </c>
      <c r="BI113" s="21">
        <f>F113*AP113</f>
        <v>0</v>
      </c>
      <c r="BJ113" s="21">
        <f>F113*G113</f>
        <v>0</v>
      </c>
      <c r="BK113" s="21" t="s">
        <v>201</v>
      </c>
      <c r="BL113" s="21">
        <v>59</v>
      </c>
    </row>
    <row r="114" spans="1:14" ht="15">
      <c r="A114" s="2"/>
      <c r="C114" s="24" t="s">
        <v>348</v>
      </c>
      <c r="D114" s="24" t="s">
        <v>196</v>
      </c>
      <c r="F114" s="25">
        <v>60</v>
      </c>
      <c r="M114" s="26"/>
      <c r="N114" s="2"/>
    </row>
    <row r="115" spans="1:14" ht="15">
      <c r="A115" s="2"/>
      <c r="C115" s="24" t="s">
        <v>49</v>
      </c>
      <c r="D115" s="24" t="s">
        <v>204</v>
      </c>
      <c r="F115" s="25">
        <v>11</v>
      </c>
      <c r="M115" s="26"/>
      <c r="N115" s="2"/>
    </row>
    <row r="116" spans="1:14" ht="15">
      <c r="A116" s="2"/>
      <c r="C116" s="24" t="s">
        <v>488</v>
      </c>
      <c r="D116" s="24"/>
      <c r="F116" s="25">
        <v>3.55</v>
      </c>
      <c r="M116" s="26"/>
      <c r="N116" s="2"/>
    </row>
    <row r="117" spans="1:64" ht="15">
      <c r="A117" s="20" t="s">
        <v>243</v>
      </c>
      <c r="B117" s="3" t="s">
        <v>207</v>
      </c>
      <c r="C117" s="618" t="s">
        <v>208</v>
      </c>
      <c r="D117" s="608"/>
      <c r="E117" s="3" t="s">
        <v>54</v>
      </c>
      <c r="F117" s="21">
        <v>403.725</v>
      </c>
      <c r="G117" s="537"/>
      <c r="H117" s="21">
        <f>F117*AO117</f>
        <v>0</v>
      </c>
      <c r="I117" s="21">
        <f>F117*AP117</f>
        <v>0</v>
      </c>
      <c r="J117" s="21">
        <f>F117*G117</f>
        <v>0</v>
      </c>
      <c r="K117" s="21">
        <v>0.188</v>
      </c>
      <c r="L117" s="21">
        <f>F117*K117</f>
        <v>75.9003</v>
      </c>
      <c r="M117" s="22" t="s">
        <v>55</v>
      </c>
      <c r="N117" s="2"/>
      <c r="Z117" s="21">
        <f>IF(AQ117="5",BJ117,0)</f>
        <v>0</v>
      </c>
      <c r="AB117" s="21">
        <f>IF(AQ117="1",BH117,0)</f>
        <v>0</v>
      </c>
      <c r="AC117" s="21">
        <f>IF(AQ117="1",BI117,0)</f>
        <v>0</v>
      </c>
      <c r="AD117" s="21">
        <f>IF(AQ117="7",BH117,0)</f>
        <v>0</v>
      </c>
      <c r="AE117" s="21">
        <f>IF(AQ117="7",BI117,0)</f>
        <v>0</v>
      </c>
      <c r="AF117" s="21">
        <f>IF(AQ117="2",BH117,0)</f>
        <v>0</v>
      </c>
      <c r="AG117" s="21">
        <f>IF(AQ117="2",BI117,0)</f>
        <v>0</v>
      </c>
      <c r="AH117" s="21">
        <f>IF(AQ117="0",BJ117,0)</f>
        <v>0</v>
      </c>
      <c r="AI117" s="10"/>
      <c r="AJ117" s="21">
        <f>IF(AN117=0,J117,0)</f>
        <v>0</v>
      </c>
      <c r="AK117" s="21">
        <f>IF(AN117=15,J117,0)</f>
        <v>0</v>
      </c>
      <c r="AL117" s="21">
        <f>IF(AN117=21,J117,0)</f>
        <v>0</v>
      </c>
      <c r="AN117" s="21">
        <v>21</v>
      </c>
      <c r="AO117" s="21">
        <f>G117*1</f>
        <v>0</v>
      </c>
      <c r="AP117" s="21">
        <f>G117*(1-1)</f>
        <v>0</v>
      </c>
      <c r="AQ117" s="23" t="s">
        <v>51</v>
      </c>
      <c r="AV117" s="21">
        <f>AW117+AX117</f>
        <v>0</v>
      </c>
      <c r="AW117" s="21">
        <f>F117*AO117</f>
        <v>0</v>
      </c>
      <c r="AX117" s="21">
        <f>F117*AP117</f>
        <v>0</v>
      </c>
      <c r="AY117" s="23" t="s">
        <v>190</v>
      </c>
      <c r="AZ117" s="23" t="s">
        <v>137</v>
      </c>
      <c r="BA117" s="10" t="s">
        <v>58</v>
      </c>
      <c r="BC117" s="21">
        <f>AW117+AX117</f>
        <v>0</v>
      </c>
      <c r="BD117" s="21">
        <f>G117/(100-BE117)*100</f>
        <v>0</v>
      </c>
      <c r="BE117" s="21">
        <v>0</v>
      </c>
      <c r="BF117" s="21">
        <f>L117</f>
        <v>75.9003</v>
      </c>
      <c r="BH117" s="21">
        <f>F117*AO117</f>
        <v>0</v>
      </c>
      <c r="BI117" s="21">
        <f>F117*AP117</f>
        <v>0</v>
      </c>
      <c r="BJ117" s="21">
        <f>F117*G117</f>
        <v>0</v>
      </c>
      <c r="BK117" s="21" t="s">
        <v>201</v>
      </c>
      <c r="BL117" s="21">
        <v>59</v>
      </c>
    </row>
    <row r="118" spans="1:14" ht="15">
      <c r="A118" s="2"/>
      <c r="C118" s="24" t="s">
        <v>489</v>
      </c>
      <c r="D118" s="24"/>
      <c r="F118" s="25">
        <v>384.5</v>
      </c>
      <c r="M118" s="26"/>
      <c r="N118" s="2"/>
    </row>
    <row r="119" spans="1:14" ht="15">
      <c r="A119" s="2"/>
      <c r="C119" s="24" t="s">
        <v>490</v>
      </c>
      <c r="D119" s="24"/>
      <c r="F119" s="25">
        <v>19.225</v>
      </c>
      <c r="M119" s="26"/>
      <c r="N119" s="2"/>
    </row>
    <row r="120" spans="1:64" ht="15">
      <c r="A120" s="20" t="s">
        <v>144</v>
      </c>
      <c r="B120" s="3" t="s">
        <v>491</v>
      </c>
      <c r="C120" s="618" t="s">
        <v>492</v>
      </c>
      <c r="D120" s="608"/>
      <c r="E120" s="3" t="s">
        <v>54</v>
      </c>
      <c r="F120" s="21">
        <v>9.975</v>
      </c>
      <c r="G120" s="537"/>
      <c r="H120" s="21">
        <f>F120*AO120</f>
        <v>0</v>
      </c>
      <c r="I120" s="21">
        <f>F120*AP120</f>
        <v>0</v>
      </c>
      <c r="J120" s="21">
        <f>F120*G120</f>
        <v>0</v>
      </c>
      <c r="K120" s="21">
        <v>0.176</v>
      </c>
      <c r="L120" s="21">
        <f>F120*K120</f>
        <v>1.7555999999999998</v>
      </c>
      <c r="M120" s="22" t="s">
        <v>55</v>
      </c>
      <c r="N120" s="2"/>
      <c r="Z120" s="21">
        <f>IF(AQ120="5",BJ120,0)</f>
        <v>0</v>
      </c>
      <c r="AB120" s="21">
        <f>IF(AQ120="1",BH120,0)</f>
        <v>0</v>
      </c>
      <c r="AC120" s="21">
        <f>IF(AQ120="1",BI120,0)</f>
        <v>0</v>
      </c>
      <c r="AD120" s="21">
        <f>IF(AQ120="7",BH120,0)</f>
        <v>0</v>
      </c>
      <c r="AE120" s="21">
        <f>IF(AQ120="7",BI120,0)</f>
        <v>0</v>
      </c>
      <c r="AF120" s="21">
        <f>IF(AQ120="2",BH120,0)</f>
        <v>0</v>
      </c>
      <c r="AG120" s="21">
        <f>IF(AQ120="2",BI120,0)</f>
        <v>0</v>
      </c>
      <c r="AH120" s="21">
        <f>IF(AQ120="0",BJ120,0)</f>
        <v>0</v>
      </c>
      <c r="AI120" s="10"/>
      <c r="AJ120" s="21">
        <f>IF(AN120=0,J120,0)</f>
        <v>0</v>
      </c>
      <c r="AK120" s="21">
        <f>IF(AN120=15,J120,0)</f>
        <v>0</v>
      </c>
      <c r="AL120" s="21">
        <f>IF(AN120=21,J120,0)</f>
        <v>0</v>
      </c>
      <c r="AN120" s="21">
        <v>21</v>
      </c>
      <c r="AO120" s="21">
        <f>G120*1</f>
        <v>0</v>
      </c>
      <c r="AP120" s="21">
        <f>G120*(1-1)</f>
        <v>0</v>
      </c>
      <c r="AQ120" s="23" t="s">
        <v>51</v>
      </c>
      <c r="AV120" s="21">
        <f>AW120+AX120</f>
        <v>0</v>
      </c>
      <c r="AW120" s="21">
        <f>F120*AO120</f>
        <v>0</v>
      </c>
      <c r="AX120" s="21">
        <f>F120*AP120</f>
        <v>0</v>
      </c>
      <c r="AY120" s="23" t="s">
        <v>190</v>
      </c>
      <c r="AZ120" s="23" t="s">
        <v>137</v>
      </c>
      <c r="BA120" s="10" t="s">
        <v>58</v>
      </c>
      <c r="BC120" s="21">
        <f>AW120+AX120</f>
        <v>0</v>
      </c>
      <c r="BD120" s="21">
        <f>G120/(100-BE120)*100</f>
        <v>0</v>
      </c>
      <c r="BE120" s="21">
        <v>0</v>
      </c>
      <c r="BF120" s="21">
        <f>L120</f>
        <v>1.7555999999999998</v>
      </c>
      <c r="BH120" s="21">
        <f>F120*AO120</f>
        <v>0</v>
      </c>
      <c r="BI120" s="21">
        <f>F120*AP120</f>
        <v>0</v>
      </c>
      <c r="BJ120" s="21">
        <f>F120*G120</f>
        <v>0</v>
      </c>
      <c r="BK120" s="21" t="s">
        <v>201</v>
      </c>
      <c r="BL120" s="21">
        <v>59</v>
      </c>
    </row>
    <row r="121" spans="1:14" ht="15">
      <c r="A121" s="2"/>
      <c r="C121" s="24" t="s">
        <v>493</v>
      </c>
      <c r="D121" s="24"/>
      <c r="F121" s="25">
        <v>9.5</v>
      </c>
      <c r="M121" s="26"/>
      <c r="N121" s="2"/>
    </row>
    <row r="122" spans="1:14" ht="15">
      <c r="A122" s="2"/>
      <c r="C122" s="24" t="s">
        <v>494</v>
      </c>
      <c r="D122" s="24"/>
      <c r="F122" s="25">
        <v>0.475</v>
      </c>
      <c r="M122" s="26"/>
      <c r="N122" s="2"/>
    </row>
    <row r="123" spans="1:14" ht="15">
      <c r="A123" s="2"/>
      <c r="B123" s="27" t="s">
        <v>61</v>
      </c>
      <c r="C123" s="634"/>
      <c r="D123" s="635"/>
      <c r="E123" s="635"/>
      <c r="F123" s="635"/>
      <c r="G123" s="635"/>
      <c r="H123" s="635"/>
      <c r="I123" s="635"/>
      <c r="J123" s="635"/>
      <c r="K123" s="635"/>
      <c r="L123" s="635"/>
      <c r="M123" s="636"/>
      <c r="N123" s="2"/>
    </row>
    <row r="124" spans="1:64" ht="15">
      <c r="A124" s="20" t="s">
        <v>250</v>
      </c>
      <c r="B124" s="3" t="s">
        <v>495</v>
      </c>
      <c r="C124" s="618" t="s">
        <v>496</v>
      </c>
      <c r="D124" s="608"/>
      <c r="E124" s="3" t="s">
        <v>54</v>
      </c>
      <c r="F124" s="21">
        <v>4.725</v>
      </c>
      <c r="G124" s="537"/>
      <c r="H124" s="21">
        <f>F124*AO124</f>
        <v>0</v>
      </c>
      <c r="I124" s="21">
        <f>F124*AP124</f>
        <v>0</v>
      </c>
      <c r="J124" s="21">
        <f>F124*G124</f>
        <v>0</v>
      </c>
      <c r="K124" s="21">
        <v>0.176</v>
      </c>
      <c r="L124" s="21">
        <f>F124*K124</f>
        <v>0.8315999999999999</v>
      </c>
      <c r="M124" s="22" t="s">
        <v>55</v>
      </c>
      <c r="N124" s="2"/>
      <c r="Z124" s="21">
        <f>IF(AQ124="5",BJ124,0)</f>
        <v>0</v>
      </c>
      <c r="AB124" s="21">
        <f>IF(AQ124="1",BH124,0)</f>
        <v>0</v>
      </c>
      <c r="AC124" s="21">
        <f>IF(AQ124="1",BI124,0)</f>
        <v>0</v>
      </c>
      <c r="AD124" s="21">
        <f>IF(AQ124="7",BH124,0)</f>
        <v>0</v>
      </c>
      <c r="AE124" s="21">
        <f>IF(AQ124="7",BI124,0)</f>
        <v>0</v>
      </c>
      <c r="AF124" s="21">
        <f>IF(AQ124="2",BH124,0)</f>
        <v>0</v>
      </c>
      <c r="AG124" s="21">
        <f>IF(AQ124="2",BI124,0)</f>
        <v>0</v>
      </c>
      <c r="AH124" s="21">
        <f>IF(AQ124="0",BJ124,0)</f>
        <v>0</v>
      </c>
      <c r="AI124" s="10"/>
      <c r="AJ124" s="21">
        <f>IF(AN124=0,J124,0)</f>
        <v>0</v>
      </c>
      <c r="AK124" s="21">
        <f>IF(AN124=15,J124,0)</f>
        <v>0</v>
      </c>
      <c r="AL124" s="21">
        <f>IF(AN124=21,J124,0)</f>
        <v>0</v>
      </c>
      <c r="AN124" s="21">
        <v>21</v>
      </c>
      <c r="AO124" s="21">
        <f>G124*1</f>
        <v>0</v>
      </c>
      <c r="AP124" s="21">
        <f>G124*(1-1)</f>
        <v>0</v>
      </c>
      <c r="AQ124" s="23" t="s">
        <v>51</v>
      </c>
      <c r="AV124" s="21">
        <f>AW124+AX124</f>
        <v>0</v>
      </c>
      <c r="AW124" s="21">
        <f>F124*AO124</f>
        <v>0</v>
      </c>
      <c r="AX124" s="21">
        <f>F124*AP124</f>
        <v>0</v>
      </c>
      <c r="AY124" s="23" t="s">
        <v>190</v>
      </c>
      <c r="AZ124" s="23" t="s">
        <v>137</v>
      </c>
      <c r="BA124" s="10" t="s">
        <v>58</v>
      </c>
      <c r="BC124" s="21">
        <f>AW124+AX124</f>
        <v>0</v>
      </c>
      <c r="BD124" s="21">
        <f>G124/(100-BE124)*100</f>
        <v>0</v>
      </c>
      <c r="BE124" s="21">
        <v>0</v>
      </c>
      <c r="BF124" s="21">
        <f>L124</f>
        <v>0.8315999999999999</v>
      </c>
      <c r="BH124" s="21">
        <f>F124*AO124</f>
        <v>0</v>
      </c>
      <c r="BI124" s="21">
        <f>F124*AP124</f>
        <v>0</v>
      </c>
      <c r="BJ124" s="21">
        <f>F124*G124</f>
        <v>0</v>
      </c>
      <c r="BK124" s="21" t="s">
        <v>201</v>
      </c>
      <c r="BL124" s="21">
        <v>59</v>
      </c>
    </row>
    <row r="125" spans="1:14" ht="15">
      <c r="A125" s="2"/>
      <c r="C125" s="24" t="s">
        <v>497</v>
      </c>
      <c r="D125" s="24"/>
      <c r="F125" s="25">
        <v>4.5</v>
      </c>
      <c r="M125" s="26"/>
      <c r="N125" s="2"/>
    </row>
    <row r="126" spans="1:14" ht="15">
      <c r="A126" s="2"/>
      <c r="C126" s="24" t="s">
        <v>498</v>
      </c>
      <c r="D126" s="24"/>
      <c r="F126" s="25">
        <v>0.225</v>
      </c>
      <c r="M126" s="26"/>
      <c r="N126" s="2"/>
    </row>
    <row r="127" spans="1:14" ht="15">
      <c r="A127" s="2"/>
      <c r="B127" s="27" t="s">
        <v>61</v>
      </c>
      <c r="C127" s="634" t="s">
        <v>499</v>
      </c>
      <c r="D127" s="635"/>
      <c r="E127" s="635"/>
      <c r="F127" s="635"/>
      <c r="G127" s="635"/>
      <c r="H127" s="635"/>
      <c r="I127" s="635"/>
      <c r="J127" s="635"/>
      <c r="K127" s="635"/>
      <c r="L127" s="635"/>
      <c r="M127" s="636"/>
      <c r="N127" s="2"/>
    </row>
    <row r="128" spans="1:64" ht="15">
      <c r="A128" s="20" t="s">
        <v>253</v>
      </c>
      <c r="B128" s="3" t="s">
        <v>222</v>
      </c>
      <c r="C128" s="618" t="s">
        <v>223</v>
      </c>
      <c r="D128" s="608"/>
      <c r="E128" s="3" t="s">
        <v>54</v>
      </c>
      <c r="F128" s="21">
        <v>15.5</v>
      </c>
      <c r="G128" s="537"/>
      <c r="H128" s="21">
        <f>F128*AO128</f>
        <v>0</v>
      </c>
      <c r="I128" s="21">
        <f>F128*AP128</f>
        <v>0</v>
      </c>
      <c r="J128" s="21">
        <f>F128*G128</f>
        <v>0</v>
      </c>
      <c r="K128" s="21">
        <v>0</v>
      </c>
      <c r="L128" s="21">
        <f>F128*K128</f>
        <v>0</v>
      </c>
      <c r="M128" s="22" t="s">
        <v>55</v>
      </c>
      <c r="N128" s="2"/>
      <c r="Z128" s="21">
        <f>IF(AQ128="5",BJ128,0)</f>
        <v>0</v>
      </c>
      <c r="AB128" s="21">
        <f>IF(AQ128="1",BH128,0)</f>
        <v>0</v>
      </c>
      <c r="AC128" s="21">
        <f>IF(AQ128="1",BI128,0)</f>
        <v>0</v>
      </c>
      <c r="AD128" s="21">
        <f>IF(AQ128="7",BH128,0)</f>
        <v>0</v>
      </c>
      <c r="AE128" s="21">
        <f>IF(AQ128="7",BI128,0)</f>
        <v>0</v>
      </c>
      <c r="AF128" s="21">
        <f>IF(AQ128="2",BH128,0)</f>
        <v>0</v>
      </c>
      <c r="AG128" s="21">
        <f>IF(AQ128="2",BI128,0)</f>
        <v>0</v>
      </c>
      <c r="AH128" s="21">
        <f>IF(AQ128="0",BJ128,0)</f>
        <v>0</v>
      </c>
      <c r="AI128" s="10"/>
      <c r="AJ128" s="21">
        <f>IF(AN128=0,J128,0)</f>
        <v>0</v>
      </c>
      <c r="AK128" s="21">
        <f>IF(AN128=15,J128,0)</f>
        <v>0</v>
      </c>
      <c r="AL128" s="21">
        <f>IF(AN128=21,J128,0)</f>
        <v>0</v>
      </c>
      <c r="AN128" s="21">
        <v>21</v>
      </c>
      <c r="AO128" s="21">
        <f>G128*0</f>
        <v>0</v>
      </c>
      <c r="AP128" s="21">
        <f>G128*(1-0)</f>
        <v>0</v>
      </c>
      <c r="AQ128" s="23" t="s">
        <v>51</v>
      </c>
      <c r="AV128" s="21">
        <f>AW128+AX128</f>
        <v>0</v>
      </c>
      <c r="AW128" s="21">
        <f>F128*AO128</f>
        <v>0</v>
      </c>
      <c r="AX128" s="21">
        <f>F128*AP128</f>
        <v>0</v>
      </c>
      <c r="AY128" s="23" t="s">
        <v>190</v>
      </c>
      <c r="AZ128" s="23" t="s">
        <v>137</v>
      </c>
      <c r="BA128" s="10" t="s">
        <v>58</v>
      </c>
      <c r="BC128" s="21">
        <f>AW128+AX128</f>
        <v>0</v>
      </c>
      <c r="BD128" s="21">
        <f>G128/(100-BE128)*100</f>
        <v>0</v>
      </c>
      <c r="BE128" s="21">
        <v>0</v>
      </c>
      <c r="BF128" s="21">
        <f>L128</f>
        <v>0</v>
      </c>
      <c r="BH128" s="21">
        <f>F128*AO128</f>
        <v>0</v>
      </c>
      <c r="BI128" s="21">
        <f>F128*AP128</f>
        <v>0</v>
      </c>
      <c r="BJ128" s="21">
        <f>F128*G128</f>
        <v>0</v>
      </c>
      <c r="BK128" s="21" t="s">
        <v>59</v>
      </c>
      <c r="BL128" s="21">
        <v>59</v>
      </c>
    </row>
    <row r="129" spans="1:14" ht="15">
      <c r="A129" s="2"/>
      <c r="C129" s="24" t="s">
        <v>500</v>
      </c>
      <c r="D129" s="24"/>
      <c r="F129" s="25">
        <v>15.5</v>
      </c>
      <c r="M129" s="26"/>
      <c r="N129" s="2"/>
    </row>
    <row r="130" spans="1:14" ht="15">
      <c r="A130" s="2"/>
      <c r="B130" s="27" t="s">
        <v>61</v>
      </c>
      <c r="C130" s="634" t="s">
        <v>225</v>
      </c>
      <c r="D130" s="635"/>
      <c r="E130" s="635"/>
      <c r="F130" s="635"/>
      <c r="G130" s="635"/>
      <c r="H130" s="635"/>
      <c r="I130" s="635"/>
      <c r="J130" s="635"/>
      <c r="K130" s="635"/>
      <c r="L130" s="635"/>
      <c r="M130" s="636"/>
      <c r="N130" s="2"/>
    </row>
    <row r="131" spans="1:64" ht="15">
      <c r="A131" s="20" t="s">
        <v>257</v>
      </c>
      <c r="B131" s="3" t="s">
        <v>227</v>
      </c>
      <c r="C131" s="618" t="s">
        <v>228</v>
      </c>
      <c r="D131" s="608"/>
      <c r="E131" s="3" t="s">
        <v>54</v>
      </c>
      <c r="F131" s="21">
        <v>4.5</v>
      </c>
      <c r="G131" s="537"/>
      <c r="H131" s="21">
        <f>F131*AO131</f>
        <v>0</v>
      </c>
      <c r="I131" s="21">
        <f>F131*AP131</f>
        <v>0</v>
      </c>
      <c r="J131" s="21">
        <f>F131*G131</f>
        <v>0</v>
      </c>
      <c r="K131" s="21">
        <v>0</v>
      </c>
      <c r="L131" s="21">
        <f>F131*K131</f>
        <v>0</v>
      </c>
      <c r="M131" s="22" t="s">
        <v>55</v>
      </c>
      <c r="N131" s="2"/>
      <c r="Z131" s="21">
        <f>IF(AQ131="5",BJ131,0)</f>
        <v>0</v>
      </c>
      <c r="AB131" s="21">
        <f>IF(AQ131="1",BH131,0)</f>
        <v>0</v>
      </c>
      <c r="AC131" s="21">
        <f>IF(AQ131="1",BI131,0)</f>
        <v>0</v>
      </c>
      <c r="AD131" s="21">
        <f>IF(AQ131="7",BH131,0)</f>
        <v>0</v>
      </c>
      <c r="AE131" s="21">
        <f>IF(AQ131="7",BI131,0)</f>
        <v>0</v>
      </c>
      <c r="AF131" s="21">
        <f>IF(AQ131="2",BH131,0)</f>
        <v>0</v>
      </c>
      <c r="AG131" s="21">
        <f>IF(AQ131="2",BI131,0)</f>
        <v>0</v>
      </c>
      <c r="AH131" s="21">
        <f>IF(AQ131="0",BJ131,0)</f>
        <v>0</v>
      </c>
      <c r="AI131" s="10"/>
      <c r="AJ131" s="21">
        <f>IF(AN131=0,J131,0)</f>
        <v>0</v>
      </c>
      <c r="AK131" s="21">
        <f>IF(AN131=15,J131,0)</f>
        <v>0</v>
      </c>
      <c r="AL131" s="21">
        <f>IF(AN131=21,J131,0)</f>
        <v>0</v>
      </c>
      <c r="AN131" s="21">
        <v>21</v>
      </c>
      <c r="AO131" s="21">
        <f>G131*0</f>
        <v>0</v>
      </c>
      <c r="AP131" s="21">
        <f>G131*(1-0)</f>
        <v>0</v>
      </c>
      <c r="AQ131" s="23" t="s">
        <v>51</v>
      </c>
      <c r="AV131" s="21">
        <f>AW131+AX131</f>
        <v>0</v>
      </c>
      <c r="AW131" s="21">
        <f>F131*AO131</f>
        <v>0</v>
      </c>
      <c r="AX131" s="21">
        <f>F131*AP131</f>
        <v>0</v>
      </c>
      <c r="AY131" s="23" t="s">
        <v>190</v>
      </c>
      <c r="AZ131" s="23" t="s">
        <v>137</v>
      </c>
      <c r="BA131" s="10" t="s">
        <v>58</v>
      </c>
      <c r="BC131" s="21">
        <f>AW131+AX131</f>
        <v>0</v>
      </c>
      <c r="BD131" s="21">
        <f>G131/(100-BE131)*100</f>
        <v>0</v>
      </c>
      <c r="BE131" s="21">
        <v>0</v>
      </c>
      <c r="BF131" s="21">
        <f>L131</f>
        <v>0</v>
      </c>
      <c r="BH131" s="21">
        <f>F131*AO131</f>
        <v>0</v>
      </c>
      <c r="BI131" s="21">
        <f>F131*AP131</f>
        <v>0</v>
      </c>
      <c r="BJ131" s="21">
        <f>F131*G131</f>
        <v>0</v>
      </c>
      <c r="BK131" s="21" t="s">
        <v>59</v>
      </c>
      <c r="BL131" s="21">
        <v>59</v>
      </c>
    </row>
    <row r="132" spans="1:14" ht="15">
      <c r="A132" s="2"/>
      <c r="C132" s="24" t="s">
        <v>497</v>
      </c>
      <c r="D132" s="24"/>
      <c r="F132" s="25">
        <v>4.5</v>
      </c>
      <c r="M132" s="26"/>
      <c r="N132" s="2"/>
    </row>
    <row r="133" spans="1:14" ht="15">
      <c r="A133" s="2"/>
      <c r="B133" s="27" t="s">
        <v>61</v>
      </c>
      <c r="C133" s="634" t="s">
        <v>225</v>
      </c>
      <c r="D133" s="635"/>
      <c r="E133" s="635"/>
      <c r="F133" s="635"/>
      <c r="G133" s="635"/>
      <c r="H133" s="635"/>
      <c r="I133" s="635"/>
      <c r="J133" s="635"/>
      <c r="K133" s="635"/>
      <c r="L133" s="635"/>
      <c r="M133" s="636"/>
      <c r="N133" s="2"/>
    </row>
    <row r="134" spans="1:64" ht="15">
      <c r="A134" s="20" t="s">
        <v>262</v>
      </c>
      <c r="B134" s="3" t="s">
        <v>230</v>
      </c>
      <c r="C134" s="618" t="s">
        <v>231</v>
      </c>
      <c r="D134" s="608"/>
      <c r="E134" s="3" t="s">
        <v>74</v>
      </c>
      <c r="F134" s="21">
        <v>140</v>
      </c>
      <c r="G134" s="537"/>
      <c r="H134" s="21">
        <f>F134*AO134</f>
        <v>0</v>
      </c>
      <c r="I134" s="21">
        <f>F134*AP134</f>
        <v>0</v>
      </c>
      <c r="J134" s="21">
        <f>F134*G134</f>
        <v>0</v>
      </c>
      <c r="K134" s="21">
        <v>0.00036</v>
      </c>
      <c r="L134" s="21">
        <f>F134*K134</f>
        <v>0.0504</v>
      </c>
      <c r="M134" s="22" t="s">
        <v>55</v>
      </c>
      <c r="N134" s="2"/>
      <c r="Z134" s="21">
        <f>IF(AQ134="5",BJ134,0)</f>
        <v>0</v>
      </c>
      <c r="AB134" s="21">
        <f>IF(AQ134="1",BH134,0)</f>
        <v>0</v>
      </c>
      <c r="AC134" s="21">
        <f>IF(AQ134="1",BI134,0)</f>
        <v>0</v>
      </c>
      <c r="AD134" s="21">
        <f>IF(AQ134="7",BH134,0)</f>
        <v>0</v>
      </c>
      <c r="AE134" s="21">
        <f>IF(AQ134="7",BI134,0)</f>
        <v>0</v>
      </c>
      <c r="AF134" s="21">
        <f>IF(AQ134="2",BH134,0)</f>
        <v>0</v>
      </c>
      <c r="AG134" s="21">
        <f>IF(AQ134="2",BI134,0)</f>
        <v>0</v>
      </c>
      <c r="AH134" s="21">
        <f>IF(AQ134="0",BJ134,0)</f>
        <v>0</v>
      </c>
      <c r="AI134" s="10"/>
      <c r="AJ134" s="21">
        <f>IF(AN134=0,J134,0)</f>
        <v>0</v>
      </c>
      <c r="AK134" s="21">
        <f>IF(AN134=15,J134,0)</f>
        <v>0</v>
      </c>
      <c r="AL134" s="21">
        <f>IF(AN134=21,J134,0)</f>
        <v>0</v>
      </c>
      <c r="AN134" s="21">
        <v>21</v>
      </c>
      <c r="AO134" s="21">
        <f>G134*0.0615708812260536</f>
        <v>0</v>
      </c>
      <c r="AP134" s="21">
        <f>G134*(1-0.0615708812260536)</f>
        <v>0</v>
      </c>
      <c r="AQ134" s="23" t="s">
        <v>51</v>
      </c>
      <c r="AV134" s="21">
        <f>AW134+AX134</f>
        <v>0</v>
      </c>
      <c r="AW134" s="21">
        <f>F134*AO134</f>
        <v>0</v>
      </c>
      <c r="AX134" s="21">
        <f>F134*AP134</f>
        <v>0</v>
      </c>
      <c r="AY134" s="23" t="s">
        <v>190</v>
      </c>
      <c r="AZ134" s="23" t="s">
        <v>137</v>
      </c>
      <c r="BA134" s="10" t="s">
        <v>58</v>
      </c>
      <c r="BC134" s="21">
        <f>AW134+AX134</f>
        <v>0</v>
      </c>
      <c r="BD134" s="21">
        <f>G134/(100-BE134)*100</f>
        <v>0</v>
      </c>
      <c r="BE134" s="21">
        <v>0</v>
      </c>
      <c r="BF134" s="21">
        <f>L134</f>
        <v>0.0504</v>
      </c>
      <c r="BH134" s="21">
        <f>F134*AO134</f>
        <v>0</v>
      </c>
      <c r="BI134" s="21">
        <f>F134*AP134</f>
        <v>0</v>
      </c>
      <c r="BJ134" s="21">
        <f>F134*G134</f>
        <v>0</v>
      </c>
      <c r="BK134" s="21" t="s">
        <v>59</v>
      </c>
      <c r="BL134" s="21">
        <v>59</v>
      </c>
    </row>
    <row r="135" spans="1:14" ht="15">
      <c r="A135" s="2"/>
      <c r="C135" s="24" t="s">
        <v>501</v>
      </c>
      <c r="D135" s="24"/>
      <c r="F135" s="25">
        <v>140</v>
      </c>
      <c r="M135" s="26"/>
      <c r="N135" s="2"/>
    </row>
    <row r="136" spans="1:64" ht="15">
      <c r="A136" s="20" t="s">
        <v>266</v>
      </c>
      <c r="B136" s="3" t="s">
        <v>233</v>
      </c>
      <c r="C136" s="618" t="s">
        <v>234</v>
      </c>
      <c r="D136" s="608"/>
      <c r="E136" s="3" t="s">
        <v>54</v>
      </c>
      <c r="F136" s="21">
        <v>473</v>
      </c>
      <c r="G136" s="537"/>
      <c r="H136" s="21">
        <f>F136*AO136</f>
        <v>0</v>
      </c>
      <c r="I136" s="21">
        <f>F136*AP136</f>
        <v>0</v>
      </c>
      <c r="J136" s="21">
        <f>F136*G136</f>
        <v>0</v>
      </c>
      <c r="K136" s="21">
        <v>0.0739</v>
      </c>
      <c r="L136" s="21">
        <f>F136*K136</f>
        <v>34.954699999999995</v>
      </c>
      <c r="M136" s="22" t="s">
        <v>55</v>
      </c>
      <c r="N136" s="2"/>
      <c r="Z136" s="21">
        <f>IF(AQ136="5",BJ136,0)</f>
        <v>0</v>
      </c>
      <c r="AB136" s="21">
        <f>IF(AQ136="1",BH136,0)</f>
        <v>0</v>
      </c>
      <c r="AC136" s="21">
        <f>IF(AQ136="1",BI136,0)</f>
        <v>0</v>
      </c>
      <c r="AD136" s="21">
        <f>IF(AQ136="7",BH136,0)</f>
        <v>0</v>
      </c>
      <c r="AE136" s="21">
        <f>IF(AQ136="7",BI136,0)</f>
        <v>0</v>
      </c>
      <c r="AF136" s="21">
        <f>IF(AQ136="2",BH136,0)</f>
        <v>0</v>
      </c>
      <c r="AG136" s="21">
        <f>IF(AQ136="2",BI136,0)</f>
        <v>0</v>
      </c>
      <c r="AH136" s="21">
        <f>IF(AQ136="0",BJ136,0)</f>
        <v>0</v>
      </c>
      <c r="AI136" s="10"/>
      <c r="AJ136" s="21">
        <f>IF(AN136=0,J136,0)</f>
        <v>0</v>
      </c>
      <c r="AK136" s="21">
        <f>IF(AN136=15,J136,0)</f>
        <v>0</v>
      </c>
      <c r="AL136" s="21">
        <f>IF(AN136=21,J136,0)</f>
        <v>0</v>
      </c>
      <c r="AN136" s="21">
        <v>21</v>
      </c>
      <c r="AO136" s="21">
        <f>G136*0.152280071813285</f>
        <v>0</v>
      </c>
      <c r="AP136" s="21">
        <f>G136*(1-0.152280071813285)</f>
        <v>0</v>
      </c>
      <c r="AQ136" s="23" t="s">
        <v>51</v>
      </c>
      <c r="AV136" s="21">
        <f>AW136+AX136</f>
        <v>0</v>
      </c>
      <c r="AW136" s="21">
        <f>F136*AO136</f>
        <v>0</v>
      </c>
      <c r="AX136" s="21">
        <f>F136*AP136</f>
        <v>0</v>
      </c>
      <c r="AY136" s="23" t="s">
        <v>190</v>
      </c>
      <c r="AZ136" s="23" t="s">
        <v>137</v>
      </c>
      <c r="BA136" s="10" t="s">
        <v>58</v>
      </c>
      <c r="BC136" s="21">
        <f>AW136+AX136</f>
        <v>0</v>
      </c>
      <c r="BD136" s="21">
        <f>G136/(100-BE136)*100</f>
        <v>0</v>
      </c>
      <c r="BE136" s="21">
        <v>0</v>
      </c>
      <c r="BF136" s="21">
        <f>L136</f>
        <v>34.954699999999995</v>
      </c>
      <c r="BH136" s="21">
        <f>F136*AO136</f>
        <v>0</v>
      </c>
      <c r="BI136" s="21">
        <f>F136*AP136</f>
        <v>0</v>
      </c>
      <c r="BJ136" s="21">
        <f>F136*G136</f>
        <v>0</v>
      </c>
      <c r="BK136" s="21" t="s">
        <v>59</v>
      </c>
      <c r="BL136" s="21">
        <v>59</v>
      </c>
    </row>
    <row r="137" spans="1:14" ht="15">
      <c r="A137" s="2"/>
      <c r="C137" s="24" t="s">
        <v>472</v>
      </c>
      <c r="D137" s="24"/>
      <c r="F137" s="25">
        <v>473</v>
      </c>
      <c r="M137" s="26"/>
      <c r="N137" s="2"/>
    </row>
    <row r="138" spans="1:14" ht="25.65" customHeight="1">
      <c r="A138" s="2"/>
      <c r="B138" s="27" t="s">
        <v>61</v>
      </c>
      <c r="C138" s="634" t="s">
        <v>236</v>
      </c>
      <c r="D138" s="635"/>
      <c r="E138" s="635"/>
      <c r="F138" s="635"/>
      <c r="G138" s="635"/>
      <c r="H138" s="635"/>
      <c r="I138" s="635"/>
      <c r="J138" s="635"/>
      <c r="K138" s="635"/>
      <c r="L138" s="635"/>
      <c r="M138" s="636"/>
      <c r="N138" s="2"/>
    </row>
    <row r="139" spans="1:64" ht="15">
      <c r="A139" s="20" t="s">
        <v>270</v>
      </c>
      <c r="B139" s="3" t="s">
        <v>238</v>
      </c>
      <c r="C139" s="618" t="s">
        <v>239</v>
      </c>
      <c r="D139" s="608"/>
      <c r="E139" s="3" t="s">
        <v>54</v>
      </c>
      <c r="F139" s="21">
        <v>484.05</v>
      </c>
      <c r="G139" s="537"/>
      <c r="H139" s="21">
        <f>F139*AO139</f>
        <v>0</v>
      </c>
      <c r="I139" s="21">
        <f>F139*AP139</f>
        <v>0</v>
      </c>
      <c r="J139" s="21">
        <f>F139*G139</f>
        <v>0</v>
      </c>
      <c r="K139" s="21">
        <v>0.131</v>
      </c>
      <c r="L139" s="21">
        <f>F139*K139</f>
        <v>63.41055</v>
      </c>
      <c r="M139" s="22" t="s">
        <v>55</v>
      </c>
      <c r="N139" s="2"/>
      <c r="Z139" s="21">
        <f>IF(AQ139="5",BJ139,0)</f>
        <v>0</v>
      </c>
      <c r="AB139" s="21">
        <f>IF(AQ139="1",BH139,0)</f>
        <v>0</v>
      </c>
      <c r="AC139" s="21">
        <f>IF(AQ139="1",BI139,0)</f>
        <v>0</v>
      </c>
      <c r="AD139" s="21">
        <f>IF(AQ139="7",BH139,0)</f>
        <v>0</v>
      </c>
      <c r="AE139" s="21">
        <f>IF(AQ139="7",BI139,0)</f>
        <v>0</v>
      </c>
      <c r="AF139" s="21">
        <f>IF(AQ139="2",BH139,0)</f>
        <v>0</v>
      </c>
      <c r="AG139" s="21">
        <f>IF(AQ139="2",BI139,0)</f>
        <v>0</v>
      </c>
      <c r="AH139" s="21">
        <f>IF(AQ139="0",BJ139,0)</f>
        <v>0</v>
      </c>
      <c r="AI139" s="10"/>
      <c r="AJ139" s="21">
        <f>IF(AN139=0,J139,0)</f>
        <v>0</v>
      </c>
      <c r="AK139" s="21">
        <f>IF(AN139=15,J139,0)</f>
        <v>0</v>
      </c>
      <c r="AL139" s="21">
        <f>IF(AN139=21,J139,0)</f>
        <v>0</v>
      </c>
      <c r="AN139" s="21">
        <v>21</v>
      </c>
      <c r="AO139" s="21">
        <f>G139*1</f>
        <v>0</v>
      </c>
      <c r="AP139" s="21">
        <f>G139*(1-1)</f>
        <v>0</v>
      </c>
      <c r="AQ139" s="23" t="s">
        <v>51</v>
      </c>
      <c r="AV139" s="21">
        <f>AW139+AX139</f>
        <v>0</v>
      </c>
      <c r="AW139" s="21">
        <f>F139*AO139</f>
        <v>0</v>
      </c>
      <c r="AX139" s="21">
        <f>F139*AP139</f>
        <v>0</v>
      </c>
      <c r="AY139" s="23" t="s">
        <v>190</v>
      </c>
      <c r="AZ139" s="23" t="s">
        <v>137</v>
      </c>
      <c r="BA139" s="10" t="s">
        <v>58</v>
      </c>
      <c r="BC139" s="21">
        <f>AW139+AX139</f>
        <v>0</v>
      </c>
      <c r="BD139" s="21">
        <f>G139/(100-BE139)*100</f>
        <v>0</v>
      </c>
      <c r="BE139" s="21">
        <v>0</v>
      </c>
      <c r="BF139" s="21">
        <f>L139</f>
        <v>63.41055</v>
      </c>
      <c r="BH139" s="21">
        <f>F139*AO139</f>
        <v>0</v>
      </c>
      <c r="BI139" s="21">
        <f>F139*AP139</f>
        <v>0</v>
      </c>
      <c r="BJ139" s="21">
        <f>F139*G139</f>
        <v>0</v>
      </c>
      <c r="BK139" s="21" t="s">
        <v>201</v>
      </c>
      <c r="BL139" s="21">
        <v>59</v>
      </c>
    </row>
    <row r="140" spans="1:14" ht="15">
      <c r="A140" s="2"/>
      <c r="C140" s="24" t="s">
        <v>502</v>
      </c>
      <c r="D140" s="24"/>
      <c r="F140" s="25">
        <v>461</v>
      </c>
      <c r="M140" s="26"/>
      <c r="N140" s="2"/>
    </row>
    <row r="141" spans="1:14" ht="15">
      <c r="A141" s="2"/>
      <c r="C141" s="24" t="s">
        <v>503</v>
      </c>
      <c r="D141" s="24"/>
      <c r="F141" s="25">
        <v>23.05</v>
      </c>
      <c r="M141" s="26"/>
      <c r="N141" s="2"/>
    </row>
    <row r="142" spans="1:14" ht="15">
      <c r="A142" s="2"/>
      <c r="B142" s="27" t="s">
        <v>61</v>
      </c>
      <c r="C142" s="634" t="s">
        <v>242</v>
      </c>
      <c r="D142" s="635"/>
      <c r="E142" s="635"/>
      <c r="F142" s="635"/>
      <c r="G142" s="635"/>
      <c r="H142" s="635"/>
      <c r="I142" s="635"/>
      <c r="J142" s="635"/>
      <c r="K142" s="635"/>
      <c r="L142" s="635"/>
      <c r="M142" s="636"/>
      <c r="N142" s="2"/>
    </row>
    <row r="143" spans="1:64" ht="15">
      <c r="A143" s="20" t="s">
        <v>275</v>
      </c>
      <c r="B143" s="3" t="s">
        <v>244</v>
      </c>
      <c r="C143" s="618" t="s">
        <v>245</v>
      </c>
      <c r="D143" s="608"/>
      <c r="E143" s="3" t="s">
        <v>54</v>
      </c>
      <c r="F143" s="21">
        <v>12.6</v>
      </c>
      <c r="G143" s="537"/>
      <c r="H143" s="21">
        <f>F143*AO143</f>
        <v>0</v>
      </c>
      <c r="I143" s="21">
        <f>F143*AP143</f>
        <v>0</v>
      </c>
      <c r="J143" s="21">
        <f>F143*G143</f>
        <v>0</v>
      </c>
      <c r="K143" s="21">
        <v>0.141</v>
      </c>
      <c r="L143" s="21">
        <f>F143*K143</f>
        <v>1.7765999999999997</v>
      </c>
      <c r="M143" s="22" t="s">
        <v>55</v>
      </c>
      <c r="N143" s="2"/>
      <c r="Z143" s="21">
        <f>IF(AQ143="5",BJ143,0)</f>
        <v>0</v>
      </c>
      <c r="AB143" s="21">
        <f>IF(AQ143="1",BH143,0)</f>
        <v>0</v>
      </c>
      <c r="AC143" s="21">
        <f>IF(AQ143="1",BI143,0)</f>
        <v>0</v>
      </c>
      <c r="AD143" s="21">
        <f>IF(AQ143="7",BH143,0)</f>
        <v>0</v>
      </c>
      <c r="AE143" s="21">
        <f>IF(AQ143="7",BI143,0)</f>
        <v>0</v>
      </c>
      <c r="AF143" s="21">
        <f>IF(AQ143="2",BH143,0)</f>
        <v>0</v>
      </c>
      <c r="AG143" s="21">
        <f>IF(AQ143="2",BI143,0)</f>
        <v>0</v>
      </c>
      <c r="AH143" s="21">
        <f>IF(AQ143="0",BJ143,0)</f>
        <v>0</v>
      </c>
      <c r="AI143" s="10"/>
      <c r="AJ143" s="21">
        <f>IF(AN143=0,J143,0)</f>
        <v>0</v>
      </c>
      <c r="AK143" s="21">
        <f>IF(AN143=15,J143,0)</f>
        <v>0</v>
      </c>
      <c r="AL143" s="21">
        <f>IF(AN143=21,J143,0)</f>
        <v>0</v>
      </c>
      <c r="AN143" s="21">
        <v>21</v>
      </c>
      <c r="AO143" s="21">
        <f>G143*1</f>
        <v>0</v>
      </c>
      <c r="AP143" s="21">
        <f>G143*(1-1)</f>
        <v>0</v>
      </c>
      <c r="AQ143" s="23" t="s">
        <v>51</v>
      </c>
      <c r="AV143" s="21">
        <f>AW143+AX143</f>
        <v>0</v>
      </c>
      <c r="AW143" s="21">
        <f>F143*AO143</f>
        <v>0</v>
      </c>
      <c r="AX143" s="21">
        <f>F143*AP143</f>
        <v>0</v>
      </c>
      <c r="AY143" s="23" t="s">
        <v>190</v>
      </c>
      <c r="AZ143" s="23" t="s">
        <v>137</v>
      </c>
      <c r="BA143" s="10" t="s">
        <v>58</v>
      </c>
      <c r="BC143" s="21">
        <f>AW143+AX143</f>
        <v>0</v>
      </c>
      <c r="BD143" s="21">
        <f>G143/(100-BE143)*100</f>
        <v>0</v>
      </c>
      <c r="BE143" s="21">
        <v>0</v>
      </c>
      <c r="BF143" s="21">
        <f>L143</f>
        <v>1.7765999999999997</v>
      </c>
      <c r="BH143" s="21">
        <f>F143*AO143</f>
        <v>0</v>
      </c>
      <c r="BI143" s="21">
        <f>F143*AP143</f>
        <v>0</v>
      </c>
      <c r="BJ143" s="21">
        <f>F143*G143</f>
        <v>0</v>
      </c>
      <c r="BK143" s="21" t="s">
        <v>201</v>
      </c>
      <c r="BL143" s="21">
        <v>59</v>
      </c>
    </row>
    <row r="144" spans="1:14" ht="15">
      <c r="A144" s="2"/>
      <c r="C144" s="24" t="s">
        <v>76</v>
      </c>
      <c r="D144" s="24"/>
      <c r="F144" s="25">
        <v>12</v>
      </c>
      <c r="M144" s="26"/>
      <c r="N144" s="2"/>
    </row>
    <row r="145" spans="1:14" ht="15">
      <c r="A145" s="2"/>
      <c r="C145" s="24" t="s">
        <v>504</v>
      </c>
      <c r="D145" s="24"/>
      <c r="F145" s="25">
        <v>0.6</v>
      </c>
      <c r="M145" s="26"/>
      <c r="N145" s="2"/>
    </row>
    <row r="146" spans="1:64" ht="15">
      <c r="A146" s="20" t="s">
        <v>281</v>
      </c>
      <c r="B146" s="3" t="s">
        <v>248</v>
      </c>
      <c r="C146" s="618" t="s">
        <v>249</v>
      </c>
      <c r="D146" s="608"/>
      <c r="E146" s="3" t="s">
        <v>54</v>
      </c>
      <c r="F146" s="21">
        <v>12</v>
      </c>
      <c r="G146" s="537"/>
      <c r="H146" s="21">
        <f>F146*AO146</f>
        <v>0</v>
      </c>
      <c r="I146" s="21">
        <f>F146*AP146</f>
        <v>0</v>
      </c>
      <c r="J146" s="21">
        <f>F146*G146</f>
        <v>0</v>
      </c>
      <c r="K146" s="21">
        <v>0</v>
      </c>
      <c r="L146" s="21">
        <f>F146*K146</f>
        <v>0</v>
      </c>
      <c r="M146" s="22" t="s">
        <v>55</v>
      </c>
      <c r="N146" s="2"/>
      <c r="Z146" s="21">
        <f>IF(AQ146="5",BJ146,0)</f>
        <v>0</v>
      </c>
      <c r="AB146" s="21">
        <f>IF(AQ146="1",BH146,0)</f>
        <v>0</v>
      </c>
      <c r="AC146" s="21">
        <f>IF(AQ146="1",BI146,0)</f>
        <v>0</v>
      </c>
      <c r="AD146" s="21">
        <f>IF(AQ146="7",BH146,0)</f>
        <v>0</v>
      </c>
      <c r="AE146" s="21">
        <f>IF(AQ146="7",BI146,0)</f>
        <v>0</v>
      </c>
      <c r="AF146" s="21">
        <f>IF(AQ146="2",BH146,0)</f>
        <v>0</v>
      </c>
      <c r="AG146" s="21">
        <f>IF(AQ146="2",BI146,0)</f>
        <v>0</v>
      </c>
      <c r="AH146" s="21">
        <f>IF(AQ146="0",BJ146,0)</f>
        <v>0</v>
      </c>
      <c r="AI146" s="10"/>
      <c r="AJ146" s="21">
        <f>IF(AN146=0,J146,0)</f>
        <v>0</v>
      </c>
      <c r="AK146" s="21">
        <f>IF(AN146=15,J146,0)</f>
        <v>0</v>
      </c>
      <c r="AL146" s="21">
        <f>IF(AN146=21,J146,0)</f>
        <v>0</v>
      </c>
      <c r="AN146" s="21">
        <v>21</v>
      </c>
      <c r="AO146" s="21">
        <f>G146*0</f>
        <v>0</v>
      </c>
      <c r="AP146" s="21">
        <f>G146*(1-0)</f>
        <v>0</v>
      </c>
      <c r="AQ146" s="23" t="s">
        <v>51</v>
      </c>
      <c r="AV146" s="21">
        <f>AW146+AX146</f>
        <v>0</v>
      </c>
      <c r="AW146" s="21">
        <f>F146*AO146</f>
        <v>0</v>
      </c>
      <c r="AX146" s="21">
        <f>F146*AP146</f>
        <v>0</v>
      </c>
      <c r="AY146" s="23" t="s">
        <v>190</v>
      </c>
      <c r="AZ146" s="23" t="s">
        <v>137</v>
      </c>
      <c r="BA146" s="10" t="s">
        <v>58</v>
      </c>
      <c r="BC146" s="21">
        <f>AW146+AX146</f>
        <v>0</v>
      </c>
      <c r="BD146" s="21">
        <f>G146/(100-BE146)*100</f>
        <v>0</v>
      </c>
      <c r="BE146" s="21">
        <v>0</v>
      </c>
      <c r="BF146" s="21">
        <f>L146</f>
        <v>0</v>
      </c>
      <c r="BH146" s="21">
        <f>F146*AO146</f>
        <v>0</v>
      </c>
      <c r="BI146" s="21">
        <f>F146*AP146</f>
        <v>0</v>
      </c>
      <c r="BJ146" s="21">
        <f>F146*G146</f>
        <v>0</v>
      </c>
      <c r="BK146" s="21" t="s">
        <v>59</v>
      </c>
      <c r="BL146" s="21">
        <v>59</v>
      </c>
    </row>
    <row r="147" spans="1:14" ht="15">
      <c r="A147" s="2"/>
      <c r="C147" s="24" t="s">
        <v>76</v>
      </c>
      <c r="D147" s="24"/>
      <c r="F147" s="25">
        <v>12</v>
      </c>
      <c r="M147" s="26"/>
      <c r="N147" s="2"/>
    </row>
    <row r="148" spans="1:14" ht="15">
      <c r="A148" s="2"/>
      <c r="B148" s="27" t="s">
        <v>61</v>
      </c>
      <c r="C148" s="634" t="s">
        <v>225</v>
      </c>
      <c r="D148" s="635"/>
      <c r="E148" s="635"/>
      <c r="F148" s="635"/>
      <c r="G148" s="635"/>
      <c r="H148" s="635"/>
      <c r="I148" s="635"/>
      <c r="J148" s="635"/>
      <c r="K148" s="635"/>
      <c r="L148" s="635"/>
      <c r="M148" s="636"/>
      <c r="N148" s="2"/>
    </row>
    <row r="149" spans="1:64" ht="15">
      <c r="A149" s="20" t="s">
        <v>290</v>
      </c>
      <c r="B149" s="3" t="s">
        <v>251</v>
      </c>
      <c r="C149" s="618" t="s">
        <v>252</v>
      </c>
      <c r="D149" s="608"/>
      <c r="E149" s="3" t="s">
        <v>54</v>
      </c>
      <c r="F149" s="21">
        <v>12</v>
      </c>
      <c r="G149" s="537"/>
      <c r="H149" s="21">
        <f>F149*AO149</f>
        <v>0</v>
      </c>
      <c r="I149" s="21">
        <f>F149*AP149</f>
        <v>0</v>
      </c>
      <c r="J149" s="21">
        <f>F149*G149</f>
        <v>0</v>
      </c>
      <c r="K149" s="21">
        <v>0</v>
      </c>
      <c r="L149" s="21">
        <f>F149*K149</f>
        <v>0</v>
      </c>
      <c r="M149" s="22" t="s">
        <v>55</v>
      </c>
      <c r="N149" s="2"/>
      <c r="Z149" s="21">
        <f>IF(AQ149="5",BJ149,0)</f>
        <v>0</v>
      </c>
      <c r="AB149" s="21">
        <f>IF(AQ149="1",BH149,0)</f>
        <v>0</v>
      </c>
      <c r="AC149" s="21">
        <f>IF(AQ149="1",BI149,0)</f>
        <v>0</v>
      </c>
      <c r="AD149" s="21">
        <f>IF(AQ149="7",BH149,0)</f>
        <v>0</v>
      </c>
      <c r="AE149" s="21">
        <f>IF(AQ149="7",BI149,0)</f>
        <v>0</v>
      </c>
      <c r="AF149" s="21">
        <f>IF(AQ149="2",BH149,0)</f>
        <v>0</v>
      </c>
      <c r="AG149" s="21">
        <f>IF(AQ149="2",BI149,0)</f>
        <v>0</v>
      </c>
      <c r="AH149" s="21">
        <f>IF(AQ149="0",BJ149,0)</f>
        <v>0</v>
      </c>
      <c r="AI149" s="10"/>
      <c r="AJ149" s="21">
        <f>IF(AN149=0,J149,0)</f>
        <v>0</v>
      </c>
      <c r="AK149" s="21">
        <f>IF(AN149=15,J149,0)</f>
        <v>0</v>
      </c>
      <c r="AL149" s="21">
        <f>IF(AN149=21,J149,0)</f>
        <v>0</v>
      </c>
      <c r="AN149" s="21">
        <v>21</v>
      </c>
      <c r="AO149" s="21">
        <f>G149*0</f>
        <v>0</v>
      </c>
      <c r="AP149" s="21">
        <f>G149*(1-0)</f>
        <v>0</v>
      </c>
      <c r="AQ149" s="23" t="s">
        <v>51</v>
      </c>
      <c r="AV149" s="21">
        <f>AW149+AX149</f>
        <v>0</v>
      </c>
      <c r="AW149" s="21">
        <f>F149*AO149</f>
        <v>0</v>
      </c>
      <c r="AX149" s="21">
        <f>F149*AP149</f>
        <v>0</v>
      </c>
      <c r="AY149" s="23" t="s">
        <v>190</v>
      </c>
      <c r="AZ149" s="23" t="s">
        <v>137</v>
      </c>
      <c r="BA149" s="10" t="s">
        <v>58</v>
      </c>
      <c r="BC149" s="21">
        <f>AW149+AX149</f>
        <v>0</v>
      </c>
      <c r="BD149" s="21">
        <f>G149/(100-BE149)*100</f>
        <v>0</v>
      </c>
      <c r="BE149" s="21">
        <v>0</v>
      </c>
      <c r="BF149" s="21">
        <f>L149</f>
        <v>0</v>
      </c>
      <c r="BH149" s="21">
        <f>F149*AO149</f>
        <v>0</v>
      </c>
      <c r="BI149" s="21">
        <f>F149*AP149</f>
        <v>0</v>
      </c>
      <c r="BJ149" s="21">
        <f>F149*G149</f>
        <v>0</v>
      </c>
      <c r="BK149" s="21" t="s">
        <v>59</v>
      </c>
      <c r="BL149" s="21">
        <v>59</v>
      </c>
    </row>
    <row r="150" spans="1:14" ht="15">
      <c r="A150" s="2"/>
      <c r="C150" s="24" t="s">
        <v>76</v>
      </c>
      <c r="D150" s="24"/>
      <c r="F150" s="25">
        <v>12</v>
      </c>
      <c r="M150" s="26"/>
      <c r="N150" s="2"/>
    </row>
    <row r="151" spans="1:14" ht="15">
      <c r="A151" s="2"/>
      <c r="B151" s="27" t="s">
        <v>61</v>
      </c>
      <c r="C151" s="634" t="s">
        <v>225</v>
      </c>
      <c r="D151" s="635"/>
      <c r="E151" s="635"/>
      <c r="F151" s="635"/>
      <c r="G151" s="635"/>
      <c r="H151" s="635"/>
      <c r="I151" s="635"/>
      <c r="J151" s="635"/>
      <c r="K151" s="635"/>
      <c r="L151" s="635"/>
      <c r="M151" s="636"/>
      <c r="N151" s="2"/>
    </row>
    <row r="152" spans="1:64" ht="15">
      <c r="A152" s="20" t="s">
        <v>296</v>
      </c>
      <c r="B152" s="3" t="s">
        <v>254</v>
      </c>
      <c r="C152" s="618" t="s">
        <v>255</v>
      </c>
      <c r="D152" s="608"/>
      <c r="E152" s="3" t="s">
        <v>74</v>
      </c>
      <c r="F152" s="21">
        <v>220</v>
      </c>
      <c r="G152" s="537"/>
      <c r="H152" s="21">
        <f>F152*AO152</f>
        <v>0</v>
      </c>
      <c r="I152" s="21">
        <f>F152*AP152</f>
        <v>0</v>
      </c>
      <c r="J152" s="21">
        <f>F152*G152</f>
        <v>0</v>
      </c>
      <c r="K152" s="21">
        <v>0.00033</v>
      </c>
      <c r="L152" s="21">
        <f>F152*K152</f>
        <v>0.0726</v>
      </c>
      <c r="M152" s="22" t="s">
        <v>55</v>
      </c>
      <c r="N152" s="2"/>
      <c r="Z152" s="21">
        <f>IF(AQ152="5",BJ152,0)</f>
        <v>0</v>
      </c>
      <c r="AB152" s="21">
        <f>IF(AQ152="1",BH152,0)</f>
        <v>0</v>
      </c>
      <c r="AC152" s="21">
        <f>IF(AQ152="1",BI152,0)</f>
        <v>0</v>
      </c>
      <c r="AD152" s="21">
        <f>IF(AQ152="7",BH152,0)</f>
        <v>0</v>
      </c>
      <c r="AE152" s="21">
        <f>IF(AQ152="7",BI152,0)</f>
        <v>0</v>
      </c>
      <c r="AF152" s="21">
        <f>IF(AQ152="2",BH152,0)</f>
        <v>0</v>
      </c>
      <c r="AG152" s="21">
        <f>IF(AQ152="2",BI152,0)</f>
        <v>0</v>
      </c>
      <c r="AH152" s="21">
        <f>IF(AQ152="0",BJ152,0)</f>
        <v>0</v>
      </c>
      <c r="AI152" s="10"/>
      <c r="AJ152" s="21">
        <f>IF(AN152=0,J152,0)</f>
        <v>0</v>
      </c>
      <c r="AK152" s="21">
        <f>IF(AN152=15,J152,0)</f>
        <v>0</v>
      </c>
      <c r="AL152" s="21">
        <f>IF(AN152=21,J152,0)</f>
        <v>0</v>
      </c>
      <c r="AN152" s="21">
        <v>21</v>
      </c>
      <c r="AO152" s="21">
        <f>G152*0.0594343434343434</f>
        <v>0</v>
      </c>
      <c r="AP152" s="21">
        <f>G152*(1-0.0594343434343434)</f>
        <v>0</v>
      </c>
      <c r="AQ152" s="23" t="s">
        <v>51</v>
      </c>
      <c r="AV152" s="21">
        <f>AW152+AX152</f>
        <v>0</v>
      </c>
      <c r="AW152" s="21">
        <f>F152*AO152</f>
        <v>0</v>
      </c>
      <c r="AX152" s="21">
        <f>F152*AP152</f>
        <v>0</v>
      </c>
      <c r="AY152" s="23" t="s">
        <v>190</v>
      </c>
      <c r="AZ152" s="23" t="s">
        <v>137</v>
      </c>
      <c r="BA152" s="10" t="s">
        <v>58</v>
      </c>
      <c r="BC152" s="21">
        <f>AW152+AX152</f>
        <v>0</v>
      </c>
      <c r="BD152" s="21">
        <f>G152/(100-BE152)*100</f>
        <v>0</v>
      </c>
      <c r="BE152" s="21">
        <v>0</v>
      </c>
      <c r="BF152" s="21">
        <f>L152</f>
        <v>0.0726</v>
      </c>
      <c r="BH152" s="21">
        <f>F152*AO152</f>
        <v>0</v>
      </c>
      <c r="BI152" s="21">
        <f>F152*AP152</f>
        <v>0</v>
      </c>
      <c r="BJ152" s="21">
        <f>F152*G152</f>
        <v>0</v>
      </c>
      <c r="BK152" s="21" t="s">
        <v>59</v>
      </c>
      <c r="BL152" s="21">
        <v>59</v>
      </c>
    </row>
    <row r="153" spans="1:14" ht="15">
      <c r="A153" s="2"/>
      <c r="C153" s="24" t="s">
        <v>505</v>
      </c>
      <c r="D153" s="24"/>
      <c r="F153" s="25">
        <v>220</v>
      </c>
      <c r="M153" s="26"/>
      <c r="N153" s="2"/>
    </row>
    <row r="154" spans="1:64" ht="15">
      <c r="A154" s="20" t="s">
        <v>305</v>
      </c>
      <c r="B154" s="3" t="s">
        <v>675</v>
      </c>
      <c r="C154" s="618" t="s">
        <v>676</v>
      </c>
      <c r="D154" s="608"/>
      <c r="E154" s="3" t="s">
        <v>54</v>
      </c>
      <c r="F154" s="21">
        <v>3.9</v>
      </c>
      <c r="G154" s="537"/>
      <c r="H154" s="21">
        <f>F154*AO154</f>
        <v>0</v>
      </c>
      <c r="I154" s="21">
        <f>F154*AP154</f>
        <v>0</v>
      </c>
      <c r="J154" s="21">
        <f>F154*G154</f>
        <v>0</v>
      </c>
      <c r="K154" s="21">
        <v>0.14958</v>
      </c>
      <c r="L154" s="21">
        <f>F154*K154</f>
        <v>0.5833619999999999</v>
      </c>
      <c r="M154" s="22" t="s">
        <v>55</v>
      </c>
      <c r="N154" s="2"/>
      <c r="Z154" s="21">
        <f>IF(AQ154="5",BJ154,0)</f>
        <v>0</v>
      </c>
      <c r="AB154" s="21">
        <f>IF(AQ154="1",BH154,0)</f>
        <v>0</v>
      </c>
      <c r="AC154" s="21">
        <f>IF(AQ154="1",BI154,0)</f>
        <v>0</v>
      </c>
      <c r="AD154" s="21">
        <f>IF(AQ154="7",BH154,0)</f>
        <v>0</v>
      </c>
      <c r="AE154" s="21">
        <f>IF(AQ154="7",BI154,0)</f>
        <v>0</v>
      </c>
      <c r="AF154" s="21">
        <f>IF(AQ154="2",BH154,0)</f>
        <v>0</v>
      </c>
      <c r="AG154" s="21">
        <f>IF(AQ154="2",BI154,0)</f>
        <v>0</v>
      </c>
      <c r="AH154" s="21">
        <f>IF(AQ154="0",BJ154,0)</f>
        <v>0</v>
      </c>
      <c r="AI154" s="10"/>
      <c r="AJ154" s="21">
        <f>IF(AN154=0,J154,0)</f>
        <v>0</v>
      </c>
      <c r="AK154" s="21">
        <f>IF(AN154=15,J154,0)</f>
        <v>0</v>
      </c>
      <c r="AL154" s="21">
        <f>IF(AN154=21,J154,0)</f>
        <v>0</v>
      </c>
      <c r="AN154" s="21">
        <v>21</v>
      </c>
      <c r="AO154" s="21">
        <f>G154*0.397851605758583</f>
        <v>0</v>
      </c>
      <c r="AP154" s="21">
        <f>G154*(1-0.397851605758583)</f>
        <v>0</v>
      </c>
      <c r="AQ154" s="23" t="s">
        <v>51</v>
      </c>
      <c r="AV154" s="21">
        <f>AW154+AX154</f>
        <v>0</v>
      </c>
      <c r="AW154" s="21">
        <f>F154*AO154</f>
        <v>0</v>
      </c>
      <c r="AX154" s="21">
        <f>F154*AP154</f>
        <v>0</v>
      </c>
      <c r="AY154" s="23" t="s">
        <v>190</v>
      </c>
      <c r="AZ154" s="23" t="s">
        <v>137</v>
      </c>
      <c r="BA154" s="10" t="s">
        <v>58</v>
      </c>
      <c r="BC154" s="21">
        <f>AW154+AX154</f>
        <v>0</v>
      </c>
      <c r="BD154" s="21">
        <f>G154/(100-BE154)*100</f>
        <v>0</v>
      </c>
      <c r="BE154" s="21">
        <v>0</v>
      </c>
      <c r="BF154" s="21">
        <f>L154</f>
        <v>0.5833619999999999</v>
      </c>
      <c r="BH154" s="21">
        <f>F154*AO154</f>
        <v>0</v>
      </c>
      <c r="BI154" s="21">
        <f>F154*AP154</f>
        <v>0</v>
      </c>
      <c r="BJ154" s="21">
        <f>F154*G154</f>
        <v>0</v>
      </c>
      <c r="BK154" s="21" t="s">
        <v>59</v>
      </c>
      <c r="BL154" s="21">
        <v>59</v>
      </c>
    </row>
    <row r="155" spans="1:14" ht="15">
      <c r="A155" s="2"/>
      <c r="C155" s="24" t="s">
        <v>653</v>
      </c>
      <c r="D155" s="24" t="s">
        <v>677</v>
      </c>
      <c r="F155" s="25">
        <v>3.9</v>
      </c>
      <c r="M155" s="26"/>
      <c r="N155" s="2"/>
    </row>
    <row r="156" spans="1:14" ht="25.65" customHeight="1">
      <c r="A156" s="2"/>
      <c r="B156" s="27" t="s">
        <v>61</v>
      </c>
      <c r="C156" s="634" t="s">
        <v>197</v>
      </c>
      <c r="D156" s="635"/>
      <c r="E156" s="635"/>
      <c r="F156" s="635"/>
      <c r="G156" s="635"/>
      <c r="H156" s="635"/>
      <c r="I156" s="635"/>
      <c r="J156" s="635"/>
      <c r="K156" s="635"/>
      <c r="L156" s="635"/>
      <c r="M156" s="636"/>
      <c r="N156" s="2"/>
    </row>
    <row r="157" spans="1:64" ht="15">
      <c r="A157" s="20" t="s">
        <v>232</v>
      </c>
      <c r="B157" s="3" t="s">
        <v>233</v>
      </c>
      <c r="C157" s="618" t="s">
        <v>234</v>
      </c>
      <c r="D157" s="608"/>
      <c r="E157" s="3" t="s">
        <v>54</v>
      </c>
      <c r="F157" s="21">
        <v>157</v>
      </c>
      <c r="G157" s="537"/>
      <c r="H157" s="21">
        <f>F157*AO157</f>
        <v>0</v>
      </c>
      <c r="I157" s="21">
        <f>F157*AP157</f>
        <v>0</v>
      </c>
      <c r="J157" s="21">
        <f>F157*G157</f>
        <v>0</v>
      </c>
      <c r="K157" s="21">
        <v>0.0739</v>
      </c>
      <c r="L157" s="21">
        <f>F157*K157</f>
        <v>11.6023</v>
      </c>
      <c r="M157" s="22" t="s">
        <v>55</v>
      </c>
      <c r="N157" s="2"/>
      <c r="Z157" s="21">
        <f>IF(AQ157="5",BJ157,0)</f>
        <v>0</v>
      </c>
      <c r="AB157" s="21">
        <f>IF(AQ157="1",BH157,0)</f>
        <v>0</v>
      </c>
      <c r="AC157" s="21">
        <f>IF(AQ157="1",BI157,0)</f>
        <v>0</v>
      </c>
      <c r="AD157" s="21">
        <f>IF(AQ157="7",BH157,0)</f>
        <v>0</v>
      </c>
      <c r="AE157" s="21">
        <f>IF(AQ157="7",BI157,0)</f>
        <v>0</v>
      </c>
      <c r="AF157" s="21">
        <f>IF(AQ157="2",BH157,0)</f>
        <v>0</v>
      </c>
      <c r="AG157" s="21">
        <f>IF(AQ157="2",BI157,0)</f>
        <v>0</v>
      </c>
      <c r="AH157" s="21">
        <f>IF(AQ157="0",BJ157,0)</f>
        <v>0</v>
      </c>
      <c r="AI157" s="10"/>
      <c r="AJ157" s="21">
        <f>IF(AN157=0,J157,0)</f>
        <v>0</v>
      </c>
      <c r="AK157" s="21">
        <f>IF(AN157=15,J157,0)</f>
        <v>0</v>
      </c>
      <c r="AL157" s="21">
        <f>IF(AN157=21,J157,0)</f>
        <v>0</v>
      </c>
      <c r="AN157" s="21">
        <v>21</v>
      </c>
      <c r="AO157" s="21">
        <f>G157*0.152280071813285</f>
        <v>0</v>
      </c>
      <c r="AP157" s="21">
        <f>G157*(1-0.152280071813285)</f>
        <v>0</v>
      </c>
      <c r="AQ157" s="23" t="s">
        <v>51</v>
      </c>
      <c r="AV157" s="21">
        <f>AW157+AX157</f>
        <v>0</v>
      </c>
      <c r="AW157" s="21">
        <f>F157*AO157</f>
        <v>0</v>
      </c>
      <c r="AX157" s="21">
        <f>F157*AP157</f>
        <v>0</v>
      </c>
      <c r="AY157" s="23" t="s">
        <v>190</v>
      </c>
      <c r="AZ157" s="23" t="s">
        <v>137</v>
      </c>
      <c r="BA157" s="10" t="s">
        <v>58</v>
      </c>
      <c r="BC157" s="21">
        <f>AW157+AX157</f>
        <v>0</v>
      </c>
      <c r="BD157" s="21">
        <f>G157/(100-BE157)*100</f>
        <v>0</v>
      </c>
      <c r="BE157" s="21">
        <v>0</v>
      </c>
      <c r="BF157" s="21">
        <f>L157</f>
        <v>11.6023</v>
      </c>
      <c r="BH157" s="21">
        <f>F157*AO157</f>
        <v>0</v>
      </c>
      <c r="BI157" s="21">
        <f>F157*AP157</f>
        <v>0</v>
      </c>
      <c r="BJ157" s="21">
        <f>F157*G157</f>
        <v>0</v>
      </c>
      <c r="BK157" s="21" t="s">
        <v>59</v>
      </c>
      <c r="BL157" s="21">
        <v>59</v>
      </c>
    </row>
    <row r="158" spans="1:14" ht="15">
      <c r="A158" s="2"/>
      <c r="C158" s="24" t="s">
        <v>678</v>
      </c>
      <c r="D158" s="24"/>
      <c r="F158" s="25">
        <v>157</v>
      </c>
      <c r="M158" s="26"/>
      <c r="N158" s="2"/>
    </row>
    <row r="159" spans="1:14" ht="25.65" customHeight="1">
      <c r="A159" s="2"/>
      <c r="B159" s="27" t="s">
        <v>61</v>
      </c>
      <c r="C159" s="634" t="s">
        <v>236</v>
      </c>
      <c r="D159" s="635"/>
      <c r="E159" s="635"/>
      <c r="F159" s="635"/>
      <c r="G159" s="635"/>
      <c r="H159" s="635"/>
      <c r="I159" s="635"/>
      <c r="J159" s="635"/>
      <c r="K159" s="635"/>
      <c r="L159" s="635"/>
      <c r="M159" s="636"/>
      <c r="N159" s="2"/>
    </row>
    <row r="160" spans="1:64" ht="15">
      <c r="A160" s="20" t="s">
        <v>315</v>
      </c>
      <c r="B160" s="3" t="s">
        <v>679</v>
      </c>
      <c r="C160" s="618" t="s">
        <v>680</v>
      </c>
      <c r="D160" s="608"/>
      <c r="E160" s="3" t="s">
        <v>54</v>
      </c>
      <c r="F160" s="21">
        <v>3.535</v>
      </c>
      <c r="G160" s="537"/>
      <c r="H160" s="21">
        <f>F160*AO160</f>
        <v>0</v>
      </c>
      <c r="I160" s="21">
        <f>F160*AP160</f>
        <v>0</v>
      </c>
      <c r="J160" s="21">
        <f>F160*G160</f>
        <v>0</v>
      </c>
      <c r="K160" s="21">
        <v>0.13715</v>
      </c>
      <c r="L160" s="21">
        <f>F160*K160</f>
        <v>0.48482525</v>
      </c>
      <c r="M160" s="22" t="s">
        <v>55</v>
      </c>
      <c r="N160" s="2"/>
      <c r="Z160" s="21">
        <f>IF(AQ160="5",BJ160,0)</f>
        <v>0</v>
      </c>
      <c r="AB160" s="21">
        <f>IF(AQ160="1",BH160,0)</f>
        <v>0</v>
      </c>
      <c r="AC160" s="21">
        <f>IF(AQ160="1",BI160,0)</f>
        <v>0</v>
      </c>
      <c r="AD160" s="21">
        <f>IF(AQ160="7",BH160,0)</f>
        <v>0</v>
      </c>
      <c r="AE160" s="21">
        <f>IF(AQ160="7",BI160,0)</f>
        <v>0</v>
      </c>
      <c r="AF160" s="21">
        <f>IF(AQ160="2",BH160,0)</f>
        <v>0</v>
      </c>
      <c r="AG160" s="21">
        <f>IF(AQ160="2",BI160,0)</f>
        <v>0</v>
      </c>
      <c r="AH160" s="21">
        <f>IF(AQ160="0",BJ160,0)</f>
        <v>0</v>
      </c>
      <c r="AI160" s="10"/>
      <c r="AJ160" s="21">
        <f>IF(AN160=0,J160,0)</f>
        <v>0</v>
      </c>
      <c r="AK160" s="21">
        <f>IF(AN160=15,J160,0)</f>
        <v>0</v>
      </c>
      <c r="AL160" s="21">
        <f>IF(AN160=21,J160,0)</f>
        <v>0</v>
      </c>
      <c r="AN160" s="21">
        <v>21</v>
      </c>
      <c r="AO160" s="21">
        <f>G160*1</f>
        <v>0</v>
      </c>
      <c r="AP160" s="21">
        <f>G160*(1-1)</f>
        <v>0</v>
      </c>
      <c r="AQ160" s="23" t="s">
        <v>51</v>
      </c>
      <c r="AV160" s="21">
        <f>AW160+AX160</f>
        <v>0</v>
      </c>
      <c r="AW160" s="21">
        <f>F160*AO160</f>
        <v>0</v>
      </c>
      <c r="AX160" s="21">
        <f>F160*AP160</f>
        <v>0</v>
      </c>
      <c r="AY160" s="23" t="s">
        <v>190</v>
      </c>
      <c r="AZ160" s="23" t="s">
        <v>137</v>
      </c>
      <c r="BA160" s="10" t="s">
        <v>58</v>
      </c>
      <c r="BC160" s="21">
        <f>AW160+AX160</f>
        <v>0</v>
      </c>
      <c r="BD160" s="21">
        <f>G160/(100-BE160)*100</f>
        <v>0</v>
      </c>
      <c r="BE160" s="21">
        <v>0</v>
      </c>
      <c r="BF160" s="21">
        <f>L160</f>
        <v>0.48482525</v>
      </c>
      <c r="BH160" s="21">
        <f>F160*AO160</f>
        <v>0</v>
      </c>
      <c r="BI160" s="21">
        <f>F160*AP160</f>
        <v>0</v>
      </c>
      <c r="BJ160" s="21">
        <f>F160*G160</f>
        <v>0</v>
      </c>
      <c r="BK160" s="21" t="s">
        <v>201</v>
      </c>
      <c r="BL160" s="21">
        <v>59</v>
      </c>
    </row>
    <row r="161" spans="1:14" ht="15">
      <c r="A161" s="2"/>
      <c r="C161" s="24" t="s">
        <v>463</v>
      </c>
      <c r="D161" s="24"/>
      <c r="F161" s="25">
        <v>3.5</v>
      </c>
      <c r="M161" s="26"/>
      <c r="N161" s="2"/>
    </row>
    <row r="162" spans="1:14" ht="15">
      <c r="A162" s="2"/>
      <c r="C162" s="24" t="s">
        <v>681</v>
      </c>
      <c r="D162" s="24"/>
      <c r="F162" s="25">
        <v>0.035</v>
      </c>
      <c r="M162" s="26"/>
      <c r="N162" s="2"/>
    </row>
    <row r="163" spans="1:14" ht="15">
      <c r="A163" s="2"/>
      <c r="B163" s="27"/>
      <c r="C163" s="634"/>
      <c r="D163" s="635"/>
      <c r="E163" s="635"/>
      <c r="F163" s="635"/>
      <c r="G163" s="635"/>
      <c r="H163" s="635"/>
      <c r="I163" s="635"/>
      <c r="J163" s="635"/>
      <c r="K163" s="635"/>
      <c r="L163" s="635"/>
      <c r="M163" s="636"/>
      <c r="N163" s="2"/>
    </row>
    <row r="164" spans="1:64" ht="15">
      <c r="A164" s="20" t="s">
        <v>319</v>
      </c>
      <c r="B164" s="3" t="s">
        <v>682</v>
      </c>
      <c r="C164" s="618" t="s">
        <v>683</v>
      </c>
      <c r="D164" s="608"/>
      <c r="E164" s="3" t="s">
        <v>54</v>
      </c>
      <c r="F164" s="21">
        <v>5.775</v>
      </c>
      <c r="G164" s="537"/>
      <c r="H164" s="21">
        <f>F164*AO164</f>
        <v>0</v>
      </c>
      <c r="I164" s="21">
        <f>F164*AP164</f>
        <v>0</v>
      </c>
      <c r="J164" s="21">
        <f>F164*G164</f>
        <v>0</v>
      </c>
      <c r="K164" s="21">
        <v>0.131</v>
      </c>
      <c r="L164" s="21">
        <f>F164*K164</f>
        <v>0.7565250000000001</v>
      </c>
      <c r="M164" s="22" t="s">
        <v>55</v>
      </c>
      <c r="N164" s="2"/>
      <c r="Z164" s="21">
        <f>IF(AQ164="5",BJ164,0)</f>
        <v>0</v>
      </c>
      <c r="AB164" s="21">
        <f>IF(AQ164="1",BH164,0)</f>
        <v>0</v>
      </c>
      <c r="AC164" s="21">
        <f>IF(AQ164="1",BI164,0)</f>
        <v>0</v>
      </c>
      <c r="AD164" s="21">
        <f>IF(AQ164="7",BH164,0)</f>
        <v>0</v>
      </c>
      <c r="AE164" s="21">
        <f>IF(AQ164="7",BI164,0)</f>
        <v>0</v>
      </c>
      <c r="AF164" s="21">
        <f>IF(AQ164="2",BH164,0)</f>
        <v>0</v>
      </c>
      <c r="AG164" s="21">
        <f>IF(AQ164="2",BI164,0)</f>
        <v>0</v>
      </c>
      <c r="AH164" s="21">
        <f>IF(AQ164="0",BJ164,0)</f>
        <v>0</v>
      </c>
      <c r="AI164" s="10"/>
      <c r="AJ164" s="21">
        <f>IF(AN164=0,J164,0)</f>
        <v>0</v>
      </c>
      <c r="AK164" s="21">
        <f>IF(AN164=15,J164,0)</f>
        <v>0</v>
      </c>
      <c r="AL164" s="21">
        <f>IF(AN164=21,J164,0)</f>
        <v>0</v>
      </c>
      <c r="AN164" s="21">
        <v>21</v>
      </c>
      <c r="AO164" s="21">
        <f>G164*1</f>
        <v>0</v>
      </c>
      <c r="AP164" s="21">
        <f>G164*(1-1)</f>
        <v>0</v>
      </c>
      <c r="AQ164" s="23" t="s">
        <v>51</v>
      </c>
      <c r="AV164" s="21">
        <f>AW164+AX164</f>
        <v>0</v>
      </c>
      <c r="AW164" s="21">
        <f>F164*AO164</f>
        <v>0</v>
      </c>
      <c r="AX164" s="21">
        <f>F164*AP164</f>
        <v>0</v>
      </c>
      <c r="AY164" s="23" t="s">
        <v>190</v>
      </c>
      <c r="AZ164" s="23" t="s">
        <v>137</v>
      </c>
      <c r="BA164" s="10" t="s">
        <v>58</v>
      </c>
      <c r="BC164" s="21">
        <f>AW164+AX164</f>
        <v>0</v>
      </c>
      <c r="BD164" s="21">
        <f>G164/(100-BE164)*100</f>
        <v>0</v>
      </c>
      <c r="BE164" s="21">
        <v>0</v>
      </c>
      <c r="BF164" s="21">
        <f>L164</f>
        <v>0.7565250000000001</v>
      </c>
      <c r="BH164" s="21">
        <f>F164*AO164</f>
        <v>0</v>
      </c>
      <c r="BI164" s="21">
        <f>F164*AP164</f>
        <v>0</v>
      </c>
      <c r="BJ164" s="21">
        <f>F164*G164</f>
        <v>0</v>
      </c>
      <c r="BK164" s="21" t="s">
        <v>201</v>
      </c>
      <c r="BL164" s="21">
        <v>59</v>
      </c>
    </row>
    <row r="165" spans="1:14" ht="15">
      <c r="A165" s="2"/>
      <c r="C165" s="24" t="s">
        <v>684</v>
      </c>
      <c r="D165" s="24"/>
      <c r="F165" s="25">
        <v>5.5</v>
      </c>
      <c r="M165" s="26"/>
      <c r="N165" s="2"/>
    </row>
    <row r="166" spans="1:14" ht="15">
      <c r="A166" s="2"/>
      <c r="C166" s="24" t="s">
        <v>685</v>
      </c>
      <c r="D166" s="24"/>
      <c r="F166" s="25">
        <v>0.275</v>
      </c>
      <c r="M166" s="26"/>
      <c r="N166" s="2"/>
    </row>
    <row r="167" spans="1:14" ht="15">
      <c r="A167" s="2"/>
      <c r="B167" s="27" t="s">
        <v>61</v>
      </c>
      <c r="C167" s="634" t="s">
        <v>686</v>
      </c>
      <c r="D167" s="635"/>
      <c r="E167" s="635"/>
      <c r="F167" s="635"/>
      <c r="G167" s="635"/>
      <c r="H167" s="635"/>
      <c r="I167" s="635"/>
      <c r="J167" s="635"/>
      <c r="K167" s="635"/>
      <c r="L167" s="635"/>
      <c r="M167" s="636"/>
      <c r="N167" s="2"/>
    </row>
    <row r="168" spans="1:64" ht="15">
      <c r="A168" s="20" t="s">
        <v>322</v>
      </c>
      <c r="B168" s="3" t="s">
        <v>687</v>
      </c>
      <c r="C168" s="618" t="s">
        <v>688</v>
      </c>
      <c r="D168" s="608"/>
      <c r="E168" s="3" t="s">
        <v>54</v>
      </c>
      <c r="F168" s="21">
        <v>9.975</v>
      </c>
      <c r="G168" s="537"/>
      <c r="H168" s="21">
        <f>F168*AO168</f>
        <v>0</v>
      </c>
      <c r="I168" s="21">
        <f>F168*AP168</f>
        <v>0</v>
      </c>
      <c r="J168" s="21">
        <f>F168*G168</f>
        <v>0</v>
      </c>
      <c r="K168" s="21">
        <v>0.131</v>
      </c>
      <c r="L168" s="21">
        <f>F168*K168</f>
        <v>1.306725</v>
      </c>
      <c r="M168" s="22" t="s">
        <v>55</v>
      </c>
      <c r="N168" s="2"/>
      <c r="Z168" s="21">
        <f>IF(AQ168="5",BJ168,0)</f>
        <v>0</v>
      </c>
      <c r="AB168" s="21">
        <f>IF(AQ168="1",BH168,0)</f>
        <v>0</v>
      </c>
      <c r="AC168" s="21">
        <f>IF(AQ168="1",BI168,0)</f>
        <v>0</v>
      </c>
      <c r="AD168" s="21">
        <f>IF(AQ168="7",BH168,0)</f>
        <v>0</v>
      </c>
      <c r="AE168" s="21">
        <f>IF(AQ168="7",BI168,0)</f>
        <v>0</v>
      </c>
      <c r="AF168" s="21">
        <f>IF(AQ168="2",BH168,0)</f>
        <v>0</v>
      </c>
      <c r="AG168" s="21">
        <f>IF(AQ168="2",BI168,0)</f>
        <v>0</v>
      </c>
      <c r="AH168" s="21">
        <f>IF(AQ168="0",BJ168,0)</f>
        <v>0</v>
      </c>
      <c r="AI168" s="10"/>
      <c r="AJ168" s="21">
        <f>IF(AN168=0,J168,0)</f>
        <v>0</v>
      </c>
      <c r="AK168" s="21">
        <f>IF(AN168=15,J168,0)</f>
        <v>0</v>
      </c>
      <c r="AL168" s="21">
        <f>IF(AN168=21,J168,0)</f>
        <v>0</v>
      </c>
      <c r="AN168" s="21">
        <v>21</v>
      </c>
      <c r="AO168" s="21">
        <f>G168*1</f>
        <v>0</v>
      </c>
      <c r="AP168" s="21">
        <f>G168*(1-1)</f>
        <v>0</v>
      </c>
      <c r="AQ168" s="23" t="s">
        <v>51</v>
      </c>
      <c r="AV168" s="21">
        <f>AW168+AX168</f>
        <v>0</v>
      </c>
      <c r="AW168" s="21">
        <f>F168*AO168</f>
        <v>0</v>
      </c>
      <c r="AX168" s="21">
        <f>F168*AP168</f>
        <v>0</v>
      </c>
      <c r="AY168" s="23" t="s">
        <v>190</v>
      </c>
      <c r="AZ168" s="23" t="s">
        <v>137</v>
      </c>
      <c r="BA168" s="10" t="s">
        <v>58</v>
      </c>
      <c r="BC168" s="21">
        <f>AW168+AX168</f>
        <v>0</v>
      </c>
      <c r="BD168" s="21">
        <f>G168/(100-BE168)*100</f>
        <v>0</v>
      </c>
      <c r="BE168" s="21">
        <v>0</v>
      </c>
      <c r="BF168" s="21">
        <f>L168</f>
        <v>1.306725</v>
      </c>
      <c r="BH168" s="21">
        <f>F168*AO168</f>
        <v>0</v>
      </c>
      <c r="BI168" s="21">
        <f>F168*AP168</f>
        <v>0</v>
      </c>
      <c r="BJ168" s="21">
        <f>F168*G168</f>
        <v>0</v>
      </c>
      <c r="BK168" s="21" t="s">
        <v>201</v>
      </c>
      <c r="BL168" s="21">
        <v>59</v>
      </c>
    </row>
    <row r="169" spans="1:14" ht="15">
      <c r="A169" s="2"/>
      <c r="C169" s="24" t="s">
        <v>493</v>
      </c>
      <c r="D169" s="24"/>
      <c r="F169" s="25">
        <v>9.5</v>
      </c>
      <c r="M169" s="26"/>
      <c r="N169" s="2"/>
    </row>
    <row r="170" spans="1:14" ht="15">
      <c r="A170" s="2"/>
      <c r="C170" s="24" t="s">
        <v>494</v>
      </c>
      <c r="D170" s="24"/>
      <c r="F170" s="25">
        <v>0.475</v>
      </c>
      <c r="M170" s="26"/>
      <c r="N170" s="2"/>
    </row>
    <row r="171" spans="1:14" ht="15">
      <c r="A171" s="2"/>
      <c r="B171" s="27" t="s">
        <v>61</v>
      </c>
      <c r="C171" s="634" t="s">
        <v>689</v>
      </c>
      <c r="D171" s="635"/>
      <c r="E171" s="635"/>
      <c r="F171" s="635"/>
      <c r="G171" s="635"/>
      <c r="H171" s="635"/>
      <c r="I171" s="635"/>
      <c r="J171" s="635"/>
      <c r="K171" s="635"/>
      <c r="L171" s="635"/>
      <c r="M171" s="636"/>
      <c r="N171" s="2"/>
    </row>
    <row r="172" spans="1:64" ht="15">
      <c r="A172" s="20" t="s">
        <v>325</v>
      </c>
      <c r="B172" s="3" t="s">
        <v>238</v>
      </c>
      <c r="C172" s="618" t="s">
        <v>690</v>
      </c>
      <c r="D172" s="608"/>
      <c r="E172" s="3" t="s">
        <v>54</v>
      </c>
      <c r="F172" s="21">
        <v>145.425</v>
      </c>
      <c r="G172" s="537"/>
      <c r="H172" s="21">
        <f>F172*AO172</f>
        <v>0</v>
      </c>
      <c r="I172" s="21">
        <f>F172*AP172</f>
        <v>0</v>
      </c>
      <c r="J172" s="21">
        <f>F172*G172</f>
        <v>0</v>
      </c>
      <c r="K172" s="21">
        <v>0.131</v>
      </c>
      <c r="L172" s="21">
        <f>F172*K172</f>
        <v>19.050675000000002</v>
      </c>
      <c r="M172" s="22" t="s">
        <v>55</v>
      </c>
      <c r="N172" s="2"/>
      <c r="Z172" s="21">
        <f>IF(AQ172="5",BJ172,0)</f>
        <v>0</v>
      </c>
      <c r="AB172" s="21">
        <f>IF(AQ172="1",BH172,0)</f>
        <v>0</v>
      </c>
      <c r="AC172" s="21">
        <f>IF(AQ172="1",BI172,0)</f>
        <v>0</v>
      </c>
      <c r="AD172" s="21">
        <f>IF(AQ172="7",BH172,0)</f>
        <v>0</v>
      </c>
      <c r="AE172" s="21">
        <f>IF(AQ172="7",BI172,0)</f>
        <v>0</v>
      </c>
      <c r="AF172" s="21">
        <f>IF(AQ172="2",BH172,0)</f>
        <v>0</v>
      </c>
      <c r="AG172" s="21">
        <f>IF(AQ172="2",BI172,0)</f>
        <v>0</v>
      </c>
      <c r="AH172" s="21">
        <f>IF(AQ172="0",BJ172,0)</f>
        <v>0</v>
      </c>
      <c r="AI172" s="10"/>
      <c r="AJ172" s="21">
        <f>IF(AN172=0,J172,0)</f>
        <v>0</v>
      </c>
      <c r="AK172" s="21">
        <f>IF(AN172=15,J172,0)</f>
        <v>0</v>
      </c>
      <c r="AL172" s="21">
        <f>IF(AN172=21,J172,0)</f>
        <v>0</v>
      </c>
      <c r="AN172" s="21">
        <v>21</v>
      </c>
      <c r="AO172" s="21">
        <f>G172*1</f>
        <v>0</v>
      </c>
      <c r="AP172" s="21">
        <f>G172*(1-1)</f>
        <v>0</v>
      </c>
      <c r="AQ172" s="23" t="s">
        <v>51</v>
      </c>
      <c r="AV172" s="21">
        <f>AW172+AX172</f>
        <v>0</v>
      </c>
      <c r="AW172" s="21">
        <f>F172*AO172</f>
        <v>0</v>
      </c>
      <c r="AX172" s="21">
        <f>F172*AP172</f>
        <v>0</v>
      </c>
      <c r="AY172" s="23" t="s">
        <v>190</v>
      </c>
      <c r="AZ172" s="23" t="s">
        <v>137</v>
      </c>
      <c r="BA172" s="10" t="s">
        <v>58</v>
      </c>
      <c r="BC172" s="21">
        <f>AW172+AX172</f>
        <v>0</v>
      </c>
      <c r="BD172" s="21">
        <f>G172/(100-BE172)*100</f>
        <v>0</v>
      </c>
      <c r="BE172" s="21">
        <v>0</v>
      </c>
      <c r="BF172" s="21">
        <f>L172</f>
        <v>19.050675000000002</v>
      </c>
      <c r="BH172" s="21">
        <f>F172*AO172</f>
        <v>0</v>
      </c>
      <c r="BI172" s="21">
        <f>F172*AP172</f>
        <v>0</v>
      </c>
      <c r="BJ172" s="21">
        <f>F172*G172</f>
        <v>0</v>
      </c>
      <c r="BK172" s="21" t="s">
        <v>201</v>
      </c>
      <c r="BL172" s="21">
        <v>59</v>
      </c>
    </row>
    <row r="173" spans="1:14" ht="15">
      <c r="A173" s="2"/>
      <c r="C173" s="24" t="s">
        <v>691</v>
      </c>
      <c r="D173" s="24"/>
      <c r="F173" s="25">
        <v>138.5</v>
      </c>
      <c r="M173" s="26"/>
      <c r="N173" s="2"/>
    </row>
    <row r="174" spans="1:14" ht="15">
      <c r="A174" s="2"/>
      <c r="C174" s="24" t="s">
        <v>692</v>
      </c>
      <c r="D174" s="24"/>
      <c r="F174" s="25">
        <v>6.925</v>
      </c>
      <c r="M174" s="26"/>
      <c r="N174" s="2"/>
    </row>
    <row r="175" spans="1:14" ht="15">
      <c r="A175" s="2"/>
      <c r="B175" s="27" t="s">
        <v>61</v>
      </c>
      <c r="C175" s="634" t="s">
        <v>693</v>
      </c>
      <c r="D175" s="635"/>
      <c r="E175" s="635"/>
      <c r="F175" s="635"/>
      <c r="G175" s="635"/>
      <c r="H175" s="635"/>
      <c r="I175" s="635"/>
      <c r="J175" s="635"/>
      <c r="K175" s="635"/>
      <c r="L175" s="635"/>
      <c r="M175" s="636"/>
      <c r="N175" s="2"/>
    </row>
    <row r="176" spans="1:64" ht="15">
      <c r="A176" s="20" t="s">
        <v>328</v>
      </c>
      <c r="B176" s="3" t="s">
        <v>248</v>
      </c>
      <c r="C176" s="618" t="s">
        <v>249</v>
      </c>
      <c r="D176" s="608"/>
      <c r="E176" s="3" t="s">
        <v>54</v>
      </c>
      <c r="F176" s="21">
        <v>15</v>
      </c>
      <c r="G176" s="537"/>
      <c r="H176" s="21">
        <f>F176*AO176</f>
        <v>0</v>
      </c>
      <c r="I176" s="21">
        <f>F176*AP176</f>
        <v>0</v>
      </c>
      <c r="J176" s="21">
        <f>F176*G176</f>
        <v>0</v>
      </c>
      <c r="K176" s="21">
        <v>0</v>
      </c>
      <c r="L176" s="21">
        <f>F176*K176</f>
        <v>0</v>
      </c>
      <c r="M176" s="22" t="s">
        <v>55</v>
      </c>
      <c r="N176" s="2"/>
      <c r="Z176" s="21">
        <f>IF(AQ176="5",BJ176,0)</f>
        <v>0</v>
      </c>
      <c r="AB176" s="21">
        <f>IF(AQ176="1",BH176,0)</f>
        <v>0</v>
      </c>
      <c r="AC176" s="21">
        <f>IF(AQ176="1",BI176,0)</f>
        <v>0</v>
      </c>
      <c r="AD176" s="21">
        <f>IF(AQ176="7",BH176,0)</f>
        <v>0</v>
      </c>
      <c r="AE176" s="21">
        <f>IF(AQ176="7",BI176,0)</f>
        <v>0</v>
      </c>
      <c r="AF176" s="21">
        <f>IF(AQ176="2",BH176,0)</f>
        <v>0</v>
      </c>
      <c r="AG176" s="21">
        <f>IF(AQ176="2",BI176,0)</f>
        <v>0</v>
      </c>
      <c r="AH176" s="21">
        <f>IF(AQ176="0",BJ176,0)</f>
        <v>0</v>
      </c>
      <c r="AI176" s="10"/>
      <c r="AJ176" s="21">
        <f>IF(AN176=0,J176,0)</f>
        <v>0</v>
      </c>
      <c r="AK176" s="21">
        <f>IF(AN176=15,J176,0)</f>
        <v>0</v>
      </c>
      <c r="AL176" s="21">
        <f>IF(AN176=21,J176,0)</f>
        <v>0</v>
      </c>
      <c r="AN176" s="21">
        <v>21</v>
      </c>
      <c r="AO176" s="21">
        <f>G176*0</f>
        <v>0</v>
      </c>
      <c r="AP176" s="21">
        <f>G176*(1-0)</f>
        <v>0</v>
      </c>
      <c r="AQ176" s="23" t="s">
        <v>51</v>
      </c>
      <c r="AV176" s="21">
        <f>AW176+AX176</f>
        <v>0</v>
      </c>
      <c r="AW176" s="21">
        <f>F176*AO176</f>
        <v>0</v>
      </c>
      <c r="AX176" s="21">
        <f>F176*AP176</f>
        <v>0</v>
      </c>
      <c r="AY176" s="23" t="s">
        <v>190</v>
      </c>
      <c r="AZ176" s="23" t="s">
        <v>137</v>
      </c>
      <c r="BA176" s="10" t="s">
        <v>58</v>
      </c>
      <c r="BC176" s="21">
        <f>AW176+AX176</f>
        <v>0</v>
      </c>
      <c r="BD176" s="21">
        <f>G176/(100-BE176)*100</f>
        <v>0</v>
      </c>
      <c r="BE176" s="21">
        <v>0</v>
      </c>
      <c r="BF176" s="21">
        <f>L176</f>
        <v>0</v>
      </c>
      <c r="BH176" s="21">
        <f>F176*AO176</f>
        <v>0</v>
      </c>
      <c r="BI176" s="21">
        <f>F176*AP176</f>
        <v>0</v>
      </c>
      <c r="BJ176" s="21">
        <f>F176*G176</f>
        <v>0</v>
      </c>
      <c r="BK176" s="21" t="s">
        <v>59</v>
      </c>
      <c r="BL176" s="21">
        <v>59</v>
      </c>
    </row>
    <row r="177" spans="1:14" ht="15">
      <c r="A177" s="2"/>
      <c r="C177" s="24" t="s">
        <v>694</v>
      </c>
      <c r="D177" s="24"/>
      <c r="F177" s="25">
        <v>15</v>
      </c>
      <c r="M177" s="26"/>
      <c r="N177" s="2"/>
    </row>
    <row r="178" spans="1:14" ht="15">
      <c r="A178" s="2"/>
      <c r="B178" s="27" t="s">
        <v>61</v>
      </c>
      <c r="C178" s="634" t="s">
        <v>225</v>
      </c>
      <c r="D178" s="635"/>
      <c r="E178" s="635"/>
      <c r="F178" s="635"/>
      <c r="G178" s="635"/>
      <c r="H178" s="635"/>
      <c r="I178" s="635"/>
      <c r="J178" s="635"/>
      <c r="K178" s="635"/>
      <c r="L178" s="635"/>
      <c r="M178" s="636"/>
      <c r="N178" s="2"/>
    </row>
    <row r="179" spans="1:64" ht="15">
      <c r="A179" s="20" t="s">
        <v>132</v>
      </c>
      <c r="B179" s="3" t="s">
        <v>251</v>
      </c>
      <c r="C179" s="618" t="s">
        <v>252</v>
      </c>
      <c r="D179" s="608"/>
      <c r="E179" s="3" t="s">
        <v>54</v>
      </c>
      <c r="F179" s="21">
        <v>15</v>
      </c>
      <c r="G179" s="537"/>
      <c r="H179" s="21">
        <f>F179*AO179</f>
        <v>0</v>
      </c>
      <c r="I179" s="21">
        <f>F179*AP179</f>
        <v>0</v>
      </c>
      <c r="J179" s="21">
        <f>F179*G179</f>
        <v>0</v>
      </c>
      <c r="K179" s="21">
        <v>0</v>
      </c>
      <c r="L179" s="21">
        <f>F179*K179</f>
        <v>0</v>
      </c>
      <c r="M179" s="22" t="s">
        <v>55</v>
      </c>
      <c r="N179" s="2"/>
      <c r="Z179" s="21">
        <f>IF(AQ179="5",BJ179,0)</f>
        <v>0</v>
      </c>
      <c r="AB179" s="21">
        <f>IF(AQ179="1",BH179,0)</f>
        <v>0</v>
      </c>
      <c r="AC179" s="21">
        <f>IF(AQ179="1",BI179,0)</f>
        <v>0</v>
      </c>
      <c r="AD179" s="21">
        <f>IF(AQ179="7",BH179,0)</f>
        <v>0</v>
      </c>
      <c r="AE179" s="21">
        <f>IF(AQ179="7",BI179,0)</f>
        <v>0</v>
      </c>
      <c r="AF179" s="21">
        <f>IF(AQ179="2",BH179,0)</f>
        <v>0</v>
      </c>
      <c r="AG179" s="21">
        <f>IF(AQ179="2",BI179,0)</f>
        <v>0</v>
      </c>
      <c r="AH179" s="21">
        <f>IF(AQ179="0",BJ179,0)</f>
        <v>0</v>
      </c>
      <c r="AI179" s="10"/>
      <c r="AJ179" s="21">
        <f>IF(AN179=0,J179,0)</f>
        <v>0</v>
      </c>
      <c r="AK179" s="21">
        <f>IF(AN179=15,J179,0)</f>
        <v>0</v>
      </c>
      <c r="AL179" s="21">
        <f>IF(AN179=21,J179,0)</f>
        <v>0</v>
      </c>
      <c r="AN179" s="21">
        <v>21</v>
      </c>
      <c r="AO179" s="21">
        <f>G179*0</f>
        <v>0</v>
      </c>
      <c r="AP179" s="21">
        <f>G179*(1-0)</f>
        <v>0</v>
      </c>
      <c r="AQ179" s="23" t="s">
        <v>51</v>
      </c>
      <c r="AV179" s="21">
        <f>AW179+AX179</f>
        <v>0</v>
      </c>
      <c r="AW179" s="21">
        <f>F179*AO179</f>
        <v>0</v>
      </c>
      <c r="AX179" s="21">
        <f>F179*AP179</f>
        <v>0</v>
      </c>
      <c r="AY179" s="23" t="s">
        <v>190</v>
      </c>
      <c r="AZ179" s="23" t="s">
        <v>137</v>
      </c>
      <c r="BA179" s="10" t="s">
        <v>58</v>
      </c>
      <c r="BC179" s="21">
        <f>AW179+AX179</f>
        <v>0</v>
      </c>
      <c r="BD179" s="21">
        <f>G179/(100-BE179)*100</f>
        <v>0</v>
      </c>
      <c r="BE179" s="21">
        <v>0</v>
      </c>
      <c r="BF179" s="21">
        <f>L179</f>
        <v>0</v>
      </c>
      <c r="BH179" s="21">
        <f>F179*AO179</f>
        <v>0</v>
      </c>
      <c r="BI179" s="21">
        <f>F179*AP179</f>
        <v>0</v>
      </c>
      <c r="BJ179" s="21">
        <f>F179*G179</f>
        <v>0</v>
      </c>
      <c r="BK179" s="21" t="s">
        <v>59</v>
      </c>
      <c r="BL179" s="21">
        <v>59</v>
      </c>
    </row>
    <row r="180" spans="1:14" ht="15">
      <c r="A180" s="2"/>
      <c r="C180" s="24" t="s">
        <v>694</v>
      </c>
      <c r="D180" s="24"/>
      <c r="F180" s="25">
        <v>15</v>
      </c>
      <c r="M180" s="26"/>
      <c r="N180" s="2"/>
    </row>
    <row r="181" spans="1:14" ht="15">
      <c r="A181" s="2"/>
      <c r="B181" s="27" t="s">
        <v>61</v>
      </c>
      <c r="C181" s="634" t="s">
        <v>225</v>
      </c>
      <c r="D181" s="635"/>
      <c r="E181" s="635"/>
      <c r="F181" s="635"/>
      <c r="G181" s="635"/>
      <c r="H181" s="635"/>
      <c r="I181" s="635"/>
      <c r="J181" s="635"/>
      <c r="K181" s="635"/>
      <c r="L181" s="635"/>
      <c r="M181" s="636"/>
      <c r="N181" s="2"/>
    </row>
    <row r="182" spans="1:64" ht="15">
      <c r="A182" s="20" t="s">
        <v>175</v>
      </c>
      <c r="B182" s="3" t="s">
        <v>254</v>
      </c>
      <c r="C182" s="618" t="s">
        <v>255</v>
      </c>
      <c r="D182" s="608"/>
      <c r="E182" s="3" t="s">
        <v>74</v>
      </c>
      <c r="F182" s="21">
        <v>95</v>
      </c>
      <c r="G182" s="537"/>
      <c r="H182" s="21">
        <f>F182*AO182</f>
        <v>0</v>
      </c>
      <c r="I182" s="21">
        <f>F182*AP182</f>
        <v>0</v>
      </c>
      <c r="J182" s="21">
        <f>F182*G182</f>
        <v>0</v>
      </c>
      <c r="K182" s="21">
        <v>0.00033</v>
      </c>
      <c r="L182" s="21">
        <f>F182*K182</f>
        <v>0.03135</v>
      </c>
      <c r="M182" s="22" t="s">
        <v>55</v>
      </c>
      <c r="N182" s="2"/>
      <c r="Z182" s="21">
        <f>IF(AQ182="5",BJ182,0)</f>
        <v>0</v>
      </c>
      <c r="AB182" s="21">
        <f>IF(AQ182="1",BH182,0)</f>
        <v>0</v>
      </c>
      <c r="AC182" s="21">
        <f>IF(AQ182="1",BI182,0)</f>
        <v>0</v>
      </c>
      <c r="AD182" s="21">
        <f>IF(AQ182="7",BH182,0)</f>
        <v>0</v>
      </c>
      <c r="AE182" s="21">
        <f>IF(AQ182="7",BI182,0)</f>
        <v>0</v>
      </c>
      <c r="AF182" s="21">
        <f>IF(AQ182="2",BH182,0)</f>
        <v>0</v>
      </c>
      <c r="AG182" s="21">
        <f>IF(AQ182="2",BI182,0)</f>
        <v>0</v>
      </c>
      <c r="AH182" s="21">
        <f>IF(AQ182="0",BJ182,0)</f>
        <v>0</v>
      </c>
      <c r="AI182" s="10"/>
      <c r="AJ182" s="21">
        <f>IF(AN182=0,J182,0)</f>
        <v>0</v>
      </c>
      <c r="AK182" s="21">
        <f>IF(AN182=15,J182,0)</f>
        <v>0</v>
      </c>
      <c r="AL182" s="21">
        <f>IF(AN182=21,J182,0)</f>
        <v>0</v>
      </c>
      <c r="AN182" s="21">
        <v>21</v>
      </c>
      <c r="AO182" s="21">
        <f>G182*0.0594343434343434</f>
        <v>0</v>
      </c>
      <c r="AP182" s="21">
        <f>G182*(1-0.0594343434343434)</f>
        <v>0</v>
      </c>
      <c r="AQ182" s="23" t="s">
        <v>51</v>
      </c>
      <c r="AV182" s="21">
        <f>AW182+AX182</f>
        <v>0</v>
      </c>
      <c r="AW182" s="21">
        <f>F182*AO182</f>
        <v>0</v>
      </c>
      <c r="AX182" s="21">
        <f>F182*AP182</f>
        <v>0</v>
      </c>
      <c r="AY182" s="23" t="s">
        <v>190</v>
      </c>
      <c r="AZ182" s="23" t="s">
        <v>137</v>
      </c>
      <c r="BA182" s="10" t="s">
        <v>58</v>
      </c>
      <c r="BC182" s="21">
        <f>AW182+AX182</f>
        <v>0</v>
      </c>
      <c r="BD182" s="21">
        <f>G182/(100-BE182)*100</f>
        <v>0</v>
      </c>
      <c r="BE182" s="21">
        <v>0</v>
      </c>
      <c r="BF182" s="21">
        <f>L182</f>
        <v>0.03135</v>
      </c>
      <c r="BH182" s="21">
        <f>F182*AO182</f>
        <v>0</v>
      </c>
      <c r="BI182" s="21">
        <f>F182*AP182</f>
        <v>0</v>
      </c>
      <c r="BJ182" s="21">
        <f>F182*G182</f>
        <v>0</v>
      </c>
      <c r="BK182" s="21" t="s">
        <v>59</v>
      </c>
      <c r="BL182" s="21">
        <v>59</v>
      </c>
    </row>
    <row r="183" spans="1:14" ht="15">
      <c r="A183" s="2"/>
      <c r="C183" s="24" t="s">
        <v>695</v>
      </c>
      <c r="D183" s="24"/>
      <c r="F183" s="25">
        <v>95</v>
      </c>
      <c r="M183" s="26"/>
      <c r="N183" s="2"/>
    </row>
    <row r="184" spans="1:64" ht="15">
      <c r="A184" s="20" t="s">
        <v>341</v>
      </c>
      <c r="B184" s="3" t="s">
        <v>696</v>
      </c>
      <c r="C184" s="618" t="s">
        <v>697</v>
      </c>
      <c r="D184" s="608"/>
      <c r="E184" s="3" t="s">
        <v>74</v>
      </c>
      <c r="F184" s="21">
        <v>38</v>
      </c>
      <c r="G184" s="537"/>
      <c r="H184" s="21">
        <f>F184*AO184</f>
        <v>0</v>
      </c>
      <c r="I184" s="21">
        <f>F184*AP184</f>
        <v>0</v>
      </c>
      <c r="J184" s="21">
        <f>F184*G184</f>
        <v>0</v>
      </c>
      <c r="K184" s="21">
        <v>0.22206</v>
      </c>
      <c r="L184" s="21">
        <f>F184*K184</f>
        <v>8.43828</v>
      </c>
      <c r="M184" s="22" t="s">
        <v>55</v>
      </c>
      <c r="N184" s="2"/>
      <c r="Z184" s="21">
        <f>IF(AQ184="5",BJ184,0)</f>
        <v>0</v>
      </c>
      <c r="AB184" s="21">
        <f>IF(AQ184="1",BH184,0)</f>
        <v>0</v>
      </c>
      <c r="AC184" s="21">
        <f>IF(AQ184="1",BI184,0)</f>
        <v>0</v>
      </c>
      <c r="AD184" s="21">
        <f>IF(AQ184="7",BH184,0)</f>
        <v>0</v>
      </c>
      <c r="AE184" s="21">
        <f>IF(AQ184="7",BI184,0)</f>
        <v>0</v>
      </c>
      <c r="AF184" s="21">
        <f>IF(AQ184="2",BH184,0)</f>
        <v>0</v>
      </c>
      <c r="AG184" s="21">
        <f>IF(AQ184="2",BI184,0)</f>
        <v>0</v>
      </c>
      <c r="AH184" s="21">
        <f>IF(AQ184="0",BJ184,0)</f>
        <v>0</v>
      </c>
      <c r="AI184" s="10"/>
      <c r="AJ184" s="21">
        <f>IF(AN184=0,J184,0)</f>
        <v>0</v>
      </c>
      <c r="AK184" s="21">
        <f>IF(AN184=15,J184,0)</f>
        <v>0</v>
      </c>
      <c r="AL184" s="21">
        <f>IF(AN184=21,J184,0)</f>
        <v>0</v>
      </c>
      <c r="AN184" s="21">
        <v>21</v>
      </c>
      <c r="AO184" s="21">
        <f>G184*0.374669926650367</f>
        <v>0</v>
      </c>
      <c r="AP184" s="21">
        <f>G184*(1-0.374669926650367)</f>
        <v>0</v>
      </c>
      <c r="AQ184" s="23" t="s">
        <v>51</v>
      </c>
      <c r="AV184" s="21">
        <f>AW184+AX184</f>
        <v>0</v>
      </c>
      <c r="AW184" s="21">
        <f>F184*AO184</f>
        <v>0</v>
      </c>
      <c r="AX184" s="21">
        <f>F184*AP184</f>
        <v>0</v>
      </c>
      <c r="AY184" s="23" t="s">
        <v>190</v>
      </c>
      <c r="AZ184" s="23" t="s">
        <v>137</v>
      </c>
      <c r="BA184" s="10" t="s">
        <v>58</v>
      </c>
      <c r="BC184" s="21">
        <f>AW184+AX184</f>
        <v>0</v>
      </c>
      <c r="BD184" s="21">
        <f>G184/(100-BE184)*100</f>
        <v>0</v>
      </c>
      <c r="BE184" s="21">
        <v>0</v>
      </c>
      <c r="BF184" s="21">
        <f>L184</f>
        <v>8.43828</v>
      </c>
      <c r="BH184" s="21">
        <f>F184*AO184</f>
        <v>0</v>
      </c>
      <c r="BI184" s="21">
        <f>F184*AP184</f>
        <v>0</v>
      </c>
      <c r="BJ184" s="21">
        <f>F184*G184</f>
        <v>0</v>
      </c>
      <c r="BK184" s="21" t="s">
        <v>59</v>
      </c>
      <c r="BL184" s="21">
        <v>59</v>
      </c>
    </row>
    <row r="185" spans="1:14" ht="15">
      <c r="A185" s="2"/>
      <c r="C185" s="24" t="s">
        <v>698</v>
      </c>
      <c r="D185" s="24"/>
      <c r="F185" s="25">
        <v>38</v>
      </c>
      <c r="M185" s="26"/>
      <c r="N185" s="2"/>
    </row>
    <row r="186" spans="1:14" ht="25.65" customHeight="1">
      <c r="A186" s="2"/>
      <c r="B186" s="27" t="s">
        <v>61</v>
      </c>
      <c r="C186" s="634" t="s">
        <v>699</v>
      </c>
      <c r="D186" s="635"/>
      <c r="E186" s="635"/>
      <c r="F186" s="635"/>
      <c r="G186" s="635"/>
      <c r="H186" s="635"/>
      <c r="I186" s="635"/>
      <c r="J186" s="635"/>
      <c r="K186" s="635"/>
      <c r="L186" s="635"/>
      <c r="M186" s="636"/>
      <c r="N186" s="2"/>
    </row>
    <row r="187" spans="1:64" ht="15">
      <c r="A187" s="20" t="s">
        <v>185</v>
      </c>
      <c r="B187" s="3" t="s">
        <v>700</v>
      </c>
      <c r="C187" s="618" t="s">
        <v>701</v>
      </c>
      <c r="D187" s="608"/>
      <c r="E187" s="3" t="s">
        <v>260</v>
      </c>
      <c r="F187" s="21">
        <v>9</v>
      </c>
      <c r="G187" s="537"/>
      <c r="H187" s="21">
        <f>F187*AO187</f>
        <v>0</v>
      </c>
      <c r="I187" s="21">
        <f>F187*AP187</f>
        <v>0</v>
      </c>
      <c r="J187" s="21">
        <f>F187*G187</f>
        <v>0</v>
      </c>
      <c r="K187" s="21">
        <v>1.5</v>
      </c>
      <c r="L187" s="21">
        <f>F187*K187</f>
        <v>13.5</v>
      </c>
      <c r="M187" s="539" t="s">
        <v>2130</v>
      </c>
      <c r="N187" s="2"/>
      <c r="Z187" s="21">
        <f>IF(AQ187="5",BJ187,0)</f>
        <v>0</v>
      </c>
      <c r="AB187" s="21">
        <f>IF(AQ187="1",BH187,0)</f>
        <v>0</v>
      </c>
      <c r="AC187" s="21">
        <f>IF(AQ187="1",BI187,0)</f>
        <v>0</v>
      </c>
      <c r="AD187" s="21">
        <f>IF(AQ187="7",BH187,0)</f>
        <v>0</v>
      </c>
      <c r="AE187" s="21">
        <f>IF(AQ187="7",BI187,0)</f>
        <v>0</v>
      </c>
      <c r="AF187" s="21">
        <f>IF(AQ187="2",BH187,0)</f>
        <v>0</v>
      </c>
      <c r="AG187" s="21">
        <f>IF(AQ187="2",BI187,0)</f>
        <v>0</v>
      </c>
      <c r="AH187" s="21">
        <f>IF(AQ187="0",BJ187,0)</f>
        <v>0</v>
      </c>
      <c r="AI187" s="10"/>
      <c r="AJ187" s="21">
        <f>IF(AN187=0,J187,0)</f>
        <v>0</v>
      </c>
      <c r="AK187" s="21">
        <f>IF(AN187=15,J187,0)</f>
        <v>0</v>
      </c>
      <c r="AL187" s="21">
        <f>IF(AN187=21,J187,0)</f>
        <v>0</v>
      </c>
      <c r="AN187" s="21">
        <v>21</v>
      </c>
      <c r="AO187" s="21">
        <f>G187*1</f>
        <v>0</v>
      </c>
      <c r="AP187" s="21">
        <f>G187*(1-1)</f>
        <v>0</v>
      </c>
      <c r="AQ187" s="23" t="s">
        <v>51</v>
      </c>
      <c r="AV187" s="21">
        <f>AW187+AX187</f>
        <v>0</v>
      </c>
      <c r="AW187" s="21">
        <f>F187*AO187</f>
        <v>0</v>
      </c>
      <c r="AX187" s="21">
        <f>F187*AP187</f>
        <v>0</v>
      </c>
      <c r="AY187" s="23" t="s">
        <v>190</v>
      </c>
      <c r="AZ187" s="23" t="s">
        <v>137</v>
      </c>
      <c r="BA187" s="10" t="s">
        <v>58</v>
      </c>
      <c r="BC187" s="21">
        <f>AW187+AX187</f>
        <v>0</v>
      </c>
      <c r="BD187" s="21">
        <f>G187/(100-BE187)*100</f>
        <v>0</v>
      </c>
      <c r="BE187" s="21">
        <v>0</v>
      </c>
      <c r="BF187" s="21">
        <f>L187</f>
        <v>13.5</v>
      </c>
      <c r="BH187" s="21">
        <f>F187*AO187</f>
        <v>0</v>
      </c>
      <c r="BI187" s="21">
        <f>F187*AP187</f>
        <v>0</v>
      </c>
      <c r="BJ187" s="21">
        <f>F187*G187</f>
        <v>0</v>
      </c>
      <c r="BK187" s="21" t="s">
        <v>201</v>
      </c>
      <c r="BL187" s="21">
        <v>59</v>
      </c>
    </row>
    <row r="188" spans="1:14" ht="15">
      <c r="A188" s="2"/>
      <c r="C188" s="24" t="s">
        <v>98</v>
      </c>
      <c r="D188" s="24"/>
      <c r="F188" s="25">
        <v>9</v>
      </c>
      <c r="M188" s="26"/>
      <c r="N188" s="2"/>
    </row>
    <row r="189" spans="1:64" ht="15">
      <c r="A189" s="20" t="s">
        <v>348</v>
      </c>
      <c r="B189" s="3" t="s">
        <v>702</v>
      </c>
      <c r="C189" s="618" t="s">
        <v>703</v>
      </c>
      <c r="D189" s="608"/>
      <c r="E189" s="3" t="s">
        <v>260</v>
      </c>
      <c r="F189" s="21">
        <v>2</v>
      </c>
      <c r="G189" s="537"/>
      <c r="H189" s="21">
        <f>F189*AO189</f>
        <v>0</v>
      </c>
      <c r="I189" s="21">
        <f>F189*AP189</f>
        <v>0</v>
      </c>
      <c r="J189" s="21">
        <f>F189*G189</f>
        <v>0</v>
      </c>
      <c r="K189" s="21">
        <v>0.5</v>
      </c>
      <c r="L189" s="21">
        <f>F189*K189</f>
        <v>1</v>
      </c>
      <c r="M189" s="539" t="s">
        <v>2130</v>
      </c>
      <c r="N189" s="2"/>
      <c r="Z189" s="21">
        <f>IF(AQ189="5",BJ189,0)</f>
        <v>0</v>
      </c>
      <c r="AB189" s="21">
        <f>IF(AQ189="1",BH189,0)</f>
        <v>0</v>
      </c>
      <c r="AC189" s="21">
        <f>IF(AQ189="1",BI189,0)</f>
        <v>0</v>
      </c>
      <c r="AD189" s="21">
        <f>IF(AQ189="7",BH189,0)</f>
        <v>0</v>
      </c>
      <c r="AE189" s="21">
        <f>IF(AQ189="7",BI189,0)</f>
        <v>0</v>
      </c>
      <c r="AF189" s="21">
        <f>IF(AQ189="2",BH189,0)</f>
        <v>0</v>
      </c>
      <c r="AG189" s="21">
        <f>IF(AQ189="2",BI189,0)</f>
        <v>0</v>
      </c>
      <c r="AH189" s="21">
        <f>IF(AQ189="0",BJ189,0)</f>
        <v>0</v>
      </c>
      <c r="AI189" s="10"/>
      <c r="AJ189" s="21">
        <f>IF(AN189=0,J189,0)</f>
        <v>0</v>
      </c>
      <c r="AK189" s="21">
        <f>IF(AN189=15,J189,0)</f>
        <v>0</v>
      </c>
      <c r="AL189" s="21">
        <f>IF(AN189=21,J189,0)</f>
        <v>0</v>
      </c>
      <c r="AN189" s="21">
        <v>21</v>
      </c>
      <c r="AO189" s="21">
        <f>G189*1</f>
        <v>0</v>
      </c>
      <c r="AP189" s="21">
        <f>G189*(1-1)</f>
        <v>0</v>
      </c>
      <c r="AQ189" s="23" t="s">
        <v>51</v>
      </c>
      <c r="AV189" s="21">
        <f>AW189+AX189</f>
        <v>0</v>
      </c>
      <c r="AW189" s="21">
        <f>F189*AO189</f>
        <v>0</v>
      </c>
      <c r="AX189" s="21">
        <f>F189*AP189</f>
        <v>0</v>
      </c>
      <c r="AY189" s="23" t="s">
        <v>190</v>
      </c>
      <c r="AZ189" s="23" t="s">
        <v>137</v>
      </c>
      <c r="BA189" s="10" t="s">
        <v>58</v>
      </c>
      <c r="BC189" s="21">
        <f>AW189+AX189</f>
        <v>0</v>
      </c>
      <c r="BD189" s="21">
        <f>G189/(100-BE189)*100</f>
        <v>0</v>
      </c>
      <c r="BE189" s="21">
        <v>0</v>
      </c>
      <c r="BF189" s="21">
        <f>L189</f>
        <v>1</v>
      </c>
      <c r="BH189" s="21">
        <f>F189*AO189</f>
        <v>0</v>
      </c>
      <c r="BI189" s="21">
        <f>F189*AP189</f>
        <v>0</v>
      </c>
      <c r="BJ189" s="21">
        <f>F189*G189</f>
        <v>0</v>
      </c>
      <c r="BK189" s="21" t="s">
        <v>201</v>
      </c>
      <c r="BL189" s="21">
        <v>59</v>
      </c>
    </row>
    <row r="190" spans="1:14" ht="15">
      <c r="A190" s="2"/>
      <c r="C190" s="24" t="s">
        <v>63</v>
      </c>
      <c r="D190" s="24"/>
      <c r="F190" s="25">
        <v>2</v>
      </c>
      <c r="M190" s="26"/>
      <c r="N190" s="2"/>
    </row>
    <row r="191" spans="1:64" ht="15">
      <c r="A191" s="20" t="s">
        <v>352</v>
      </c>
      <c r="B191" s="3" t="s">
        <v>704</v>
      </c>
      <c r="C191" s="618" t="s">
        <v>705</v>
      </c>
      <c r="D191" s="608"/>
      <c r="E191" s="3" t="s">
        <v>260</v>
      </c>
      <c r="F191" s="21">
        <v>2</v>
      </c>
      <c r="G191" s="537"/>
      <c r="H191" s="21">
        <f>F191*AO191</f>
        <v>0</v>
      </c>
      <c r="I191" s="21">
        <f>F191*AP191</f>
        <v>0</v>
      </c>
      <c r="J191" s="21">
        <f>F191*G191</f>
        <v>0</v>
      </c>
      <c r="K191" s="21">
        <v>0.22344</v>
      </c>
      <c r="L191" s="21">
        <f>F191*K191</f>
        <v>0.44688</v>
      </c>
      <c r="M191" s="22" t="s">
        <v>55</v>
      </c>
      <c r="N191" s="2"/>
      <c r="Z191" s="21">
        <f>IF(AQ191="5",BJ191,0)</f>
        <v>0</v>
      </c>
      <c r="AB191" s="21">
        <f>IF(AQ191="1",BH191,0)</f>
        <v>0</v>
      </c>
      <c r="AC191" s="21">
        <f>IF(AQ191="1",BI191,0)</f>
        <v>0</v>
      </c>
      <c r="AD191" s="21">
        <f>IF(AQ191="7",BH191,0)</f>
        <v>0</v>
      </c>
      <c r="AE191" s="21">
        <f>IF(AQ191="7",BI191,0)</f>
        <v>0</v>
      </c>
      <c r="AF191" s="21">
        <f>IF(AQ191="2",BH191,0)</f>
        <v>0</v>
      </c>
      <c r="AG191" s="21">
        <f>IF(AQ191="2",BI191,0)</f>
        <v>0</v>
      </c>
      <c r="AH191" s="21">
        <f>IF(AQ191="0",BJ191,0)</f>
        <v>0</v>
      </c>
      <c r="AI191" s="10"/>
      <c r="AJ191" s="21">
        <f>IF(AN191=0,J191,0)</f>
        <v>0</v>
      </c>
      <c r="AK191" s="21">
        <f>IF(AN191=15,J191,0)</f>
        <v>0</v>
      </c>
      <c r="AL191" s="21">
        <f>IF(AN191=21,J191,0)</f>
        <v>0</v>
      </c>
      <c r="AN191" s="21">
        <v>21</v>
      </c>
      <c r="AO191" s="21">
        <f>G191*0.158599679596607</f>
        <v>0</v>
      </c>
      <c r="AP191" s="21">
        <f>G191*(1-0.158599679596607)</f>
        <v>0</v>
      </c>
      <c r="AQ191" s="23" t="s">
        <v>51</v>
      </c>
      <c r="AV191" s="21">
        <f>AW191+AX191</f>
        <v>0</v>
      </c>
      <c r="AW191" s="21">
        <f>F191*AO191</f>
        <v>0</v>
      </c>
      <c r="AX191" s="21">
        <f>F191*AP191</f>
        <v>0</v>
      </c>
      <c r="AY191" s="23" t="s">
        <v>190</v>
      </c>
      <c r="AZ191" s="23" t="s">
        <v>137</v>
      </c>
      <c r="BA191" s="10" t="s">
        <v>58</v>
      </c>
      <c r="BC191" s="21">
        <f>AW191+AX191</f>
        <v>0</v>
      </c>
      <c r="BD191" s="21">
        <f>G191/(100-BE191)*100</f>
        <v>0</v>
      </c>
      <c r="BE191" s="21">
        <v>0</v>
      </c>
      <c r="BF191" s="21">
        <f>L191</f>
        <v>0.44688</v>
      </c>
      <c r="BH191" s="21">
        <f>F191*AO191</f>
        <v>0</v>
      </c>
      <c r="BI191" s="21">
        <f>F191*AP191</f>
        <v>0</v>
      </c>
      <c r="BJ191" s="21">
        <f>F191*G191</f>
        <v>0</v>
      </c>
      <c r="BK191" s="21" t="s">
        <v>59</v>
      </c>
      <c r="BL191" s="21">
        <v>59</v>
      </c>
    </row>
    <row r="192" spans="1:14" ht="15">
      <c r="A192" s="2"/>
      <c r="C192" s="24" t="s">
        <v>63</v>
      </c>
      <c r="D192" s="24"/>
      <c r="F192" s="25">
        <v>2</v>
      </c>
      <c r="M192" s="26"/>
      <c r="N192" s="2"/>
    </row>
    <row r="193" spans="1:14" ht="25.65" customHeight="1">
      <c r="A193" s="2"/>
      <c r="B193" s="27" t="s">
        <v>61</v>
      </c>
      <c r="C193" s="634" t="s">
        <v>706</v>
      </c>
      <c r="D193" s="635"/>
      <c r="E193" s="635"/>
      <c r="F193" s="635"/>
      <c r="G193" s="635"/>
      <c r="H193" s="635"/>
      <c r="I193" s="635"/>
      <c r="J193" s="635"/>
      <c r="K193" s="635"/>
      <c r="L193" s="635"/>
      <c r="M193" s="636"/>
      <c r="N193" s="2"/>
    </row>
    <row r="194" spans="1:64" ht="15">
      <c r="A194" s="20" t="s">
        <v>356</v>
      </c>
      <c r="B194" s="3" t="s">
        <v>707</v>
      </c>
      <c r="C194" s="618" t="s">
        <v>708</v>
      </c>
      <c r="D194" s="608"/>
      <c r="E194" s="3" t="s">
        <v>260</v>
      </c>
      <c r="F194" s="21">
        <v>2</v>
      </c>
      <c r="G194" s="537"/>
      <c r="H194" s="21">
        <f>F194*AO194</f>
        <v>0</v>
      </c>
      <c r="I194" s="21">
        <f>F194*AP194</f>
        <v>0</v>
      </c>
      <c r="J194" s="21">
        <f>F194*G194</f>
        <v>0</v>
      </c>
      <c r="K194" s="21">
        <v>0.5</v>
      </c>
      <c r="L194" s="21">
        <f>F194*K194</f>
        <v>1</v>
      </c>
      <c r="M194" s="539" t="s">
        <v>2130</v>
      </c>
      <c r="N194" s="2"/>
      <c r="Z194" s="21">
        <f>IF(AQ194="5",BJ194,0)</f>
        <v>0</v>
      </c>
      <c r="AB194" s="21">
        <f>IF(AQ194="1",BH194,0)</f>
        <v>0</v>
      </c>
      <c r="AC194" s="21">
        <f>IF(AQ194="1",BI194,0)</f>
        <v>0</v>
      </c>
      <c r="AD194" s="21">
        <f>IF(AQ194="7",BH194,0)</f>
        <v>0</v>
      </c>
      <c r="AE194" s="21">
        <f>IF(AQ194="7",BI194,0)</f>
        <v>0</v>
      </c>
      <c r="AF194" s="21">
        <f>IF(AQ194="2",BH194,0)</f>
        <v>0</v>
      </c>
      <c r="AG194" s="21">
        <f>IF(AQ194="2",BI194,0)</f>
        <v>0</v>
      </c>
      <c r="AH194" s="21">
        <f>IF(AQ194="0",BJ194,0)</f>
        <v>0</v>
      </c>
      <c r="AI194" s="10"/>
      <c r="AJ194" s="21">
        <f>IF(AN194=0,J194,0)</f>
        <v>0</v>
      </c>
      <c r="AK194" s="21">
        <f>IF(AN194=15,J194,0)</f>
        <v>0</v>
      </c>
      <c r="AL194" s="21">
        <f>IF(AN194=21,J194,0)</f>
        <v>0</v>
      </c>
      <c r="AN194" s="21">
        <v>21</v>
      </c>
      <c r="AO194" s="21">
        <f>G194*1</f>
        <v>0</v>
      </c>
      <c r="AP194" s="21">
        <f>G194*(1-1)</f>
        <v>0</v>
      </c>
      <c r="AQ194" s="23" t="s">
        <v>51</v>
      </c>
      <c r="AV194" s="21">
        <f>AW194+AX194</f>
        <v>0</v>
      </c>
      <c r="AW194" s="21">
        <f>F194*AO194</f>
        <v>0</v>
      </c>
      <c r="AX194" s="21">
        <f>F194*AP194</f>
        <v>0</v>
      </c>
      <c r="AY194" s="23" t="s">
        <v>190</v>
      </c>
      <c r="AZ194" s="23" t="s">
        <v>137</v>
      </c>
      <c r="BA194" s="10" t="s">
        <v>58</v>
      </c>
      <c r="BC194" s="21">
        <f>AW194+AX194</f>
        <v>0</v>
      </c>
      <c r="BD194" s="21">
        <f>G194/(100-BE194)*100</f>
        <v>0</v>
      </c>
      <c r="BE194" s="21">
        <v>0</v>
      </c>
      <c r="BF194" s="21">
        <f>L194</f>
        <v>1</v>
      </c>
      <c r="BH194" s="21">
        <f>F194*AO194</f>
        <v>0</v>
      </c>
      <c r="BI194" s="21">
        <f>F194*AP194</f>
        <v>0</v>
      </c>
      <c r="BJ194" s="21">
        <f>F194*G194</f>
        <v>0</v>
      </c>
      <c r="BK194" s="21" t="s">
        <v>201</v>
      </c>
      <c r="BL194" s="21">
        <v>59</v>
      </c>
    </row>
    <row r="195" spans="1:14" ht="15">
      <c r="A195" s="2"/>
      <c r="C195" s="24" t="s">
        <v>63</v>
      </c>
      <c r="D195" s="24"/>
      <c r="F195" s="25">
        <v>2</v>
      </c>
      <c r="M195" s="26"/>
      <c r="N195" s="2"/>
    </row>
    <row r="196" spans="1:64" ht="15">
      <c r="A196" s="20" t="s">
        <v>359</v>
      </c>
      <c r="B196" s="3" t="s">
        <v>709</v>
      </c>
      <c r="C196" s="618" t="s">
        <v>710</v>
      </c>
      <c r="D196" s="608"/>
      <c r="E196" s="3" t="s">
        <v>260</v>
      </c>
      <c r="F196" s="21">
        <v>2</v>
      </c>
      <c r="G196" s="537"/>
      <c r="H196" s="21">
        <f>F196*AO196</f>
        <v>0</v>
      </c>
      <c r="I196" s="21">
        <f>F196*AP196</f>
        <v>0</v>
      </c>
      <c r="J196" s="21">
        <f>F196*G196</f>
        <v>0</v>
      </c>
      <c r="K196" s="21">
        <v>0.06</v>
      </c>
      <c r="L196" s="21">
        <f>F196*K196</f>
        <v>0.12</v>
      </c>
      <c r="M196" s="539" t="s">
        <v>2130</v>
      </c>
      <c r="N196" s="2"/>
      <c r="Z196" s="21">
        <f>IF(AQ196="5",BJ196,0)</f>
        <v>0</v>
      </c>
      <c r="AB196" s="21">
        <f>IF(AQ196="1",BH196,0)</f>
        <v>0</v>
      </c>
      <c r="AC196" s="21">
        <f>IF(AQ196="1",BI196,0)</f>
        <v>0</v>
      </c>
      <c r="AD196" s="21">
        <f>IF(AQ196="7",BH196,0)</f>
        <v>0</v>
      </c>
      <c r="AE196" s="21">
        <f>IF(AQ196="7",BI196,0)</f>
        <v>0</v>
      </c>
      <c r="AF196" s="21">
        <f>IF(AQ196="2",BH196,0)</f>
        <v>0</v>
      </c>
      <c r="AG196" s="21">
        <f>IF(AQ196="2",BI196,0)</f>
        <v>0</v>
      </c>
      <c r="AH196" s="21">
        <f>IF(AQ196="0",BJ196,0)</f>
        <v>0</v>
      </c>
      <c r="AI196" s="10"/>
      <c r="AJ196" s="21">
        <f>IF(AN196=0,J196,0)</f>
        <v>0</v>
      </c>
      <c r="AK196" s="21">
        <f>IF(AN196=15,J196,0)</f>
        <v>0</v>
      </c>
      <c r="AL196" s="21">
        <f>IF(AN196=21,J196,0)</f>
        <v>0</v>
      </c>
      <c r="AN196" s="21">
        <v>21</v>
      </c>
      <c r="AO196" s="21">
        <f>G196*1</f>
        <v>0</v>
      </c>
      <c r="AP196" s="21">
        <f>G196*(1-1)</f>
        <v>0</v>
      </c>
      <c r="AQ196" s="23" t="s">
        <v>51</v>
      </c>
      <c r="AV196" s="21">
        <f>AW196+AX196</f>
        <v>0</v>
      </c>
      <c r="AW196" s="21">
        <f>F196*AO196</f>
        <v>0</v>
      </c>
      <c r="AX196" s="21">
        <f>F196*AP196</f>
        <v>0</v>
      </c>
      <c r="AY196" s="23" t="s">
        <v>190</v>
      </c>
      <c r="AZ196" s="23" t="s">
        <v>137</v>
      </c>
      <c r="BA196" s="10" t="s">
        <v>58</v>
      </c>
      <c r="BC196" s="21">
        <f>AW196+AX196</f>
        <v>0</v>
      </c>
      <c r="BD196" s="21">
        <f>G196/(100-BE196)*100</f>
        <v>0</v>
      </c>
      <c r="BE196" s="21">
        <v>0</v>
      </c>
      <c r="BF196" s="21">
        <f>L196</f>
        <v>0.12</v>
      </c>
      <c r="BH196" s="21">
        <f>F196*AO196</f>
        <v>0</v>
      </c>
      <c r="BI196" s="21">
        <f>F196*AP196</f>
        <v>0</v>
      </c>
      <c r="BJ196" s="21">
        <f>F196*G196</f>
        <v>0</v>
      </c>
      <c r="BK196" s="21" t="s">
        <v>201</v>
      </c>
      <c r="BL196" s="21">
        <v>59</v>
      </c>
    </row>
    <row r="197" spans="1:14" ht="15">
      <c r="A197" s="2"/>
      <c r="C197" s="24" t="s">
        <v>63</v>
      </c>
      <c r="D197" s="24"/>
      <c r="F197" s="25">
        <v>2</v>
      </c>
      <c r="M197" s="26"/>
      <c r="N197" s="2"/>
    </row>
    <row r="198" spans="1:64" ht="15">
      <c r="A198" s="20" t="s">
        <v>363</v>
      </c>
      <c r="B198" s="3" t="s">
        <v>711</v>
      </c>
      <c r="C198" s="618" t="s">
        <v>712</v>
      </c>
      <c r="D198" s="608"/>
      <c r="E198" s="3" t="s">
        <v>260</v>
      </c>
      <c r="F198" s="21">
        <v>2</v>
      </c>
      <c r="G198" s="537"/>
      <c r="H198" s="21">
        <f>F198*AO198</f>
        <v>0</v>
      </c>
      <c r="I198" s="21">
        <f>F198*AP198</f>
        <v>0</v>
      </c>
      <c r="J198" s="21">
        <f>F198*G198</f>
        <v>0</v>
      </c>
      <c r="K198" s="21">
        <v>0.057</v>
      </c>
      <c r="L198" s="21">
        <f>F198*K198</f>
        <v>0.114</v>
      </c>
      <c r="M198" s="22" t="s">
        <v>55</v>
      </c>
      <c r="N198" s="2"/>
      <c r="Z198" s="21">
        <f>IF(AQ198="5",BJ198,0)</f>
        <v>0</v>
      </c>
      <c r="AB198" s="21">
        <f>IF(AQ198="1",BH198,0)</f>
        <v>0</v>
      </c>
      <c r="AC198" s="21">
        <f>IF(AQ198="1",BI198,0)</f>
        <v>0</v>
      </c>
      <c r="AD198" s="21">
        <f>IF(AQ198="7",BH198,0)</f>
        <v>0</v>
      </c>
      <c r="AE198" s="21">
        <f>IF(AQ198="7",BI198,0)</f>
        <v>0</v>
      </c>
      <c r="AF198" s="21">
        <f>IF(AQ198="2",BH198,0)</f>
        <v>0</v>
      </c>
      <c r="AG198" s="21">
        <f>IF(AQ198="2",BI198,0)</f>
        <v>0</v>
      </c>
      <c r="AH198" s="21">
        <f>IF(AQ198="0",BJ198,0)</f>
        <v>0</v>
      </c>
      <c r="AI198" s="10"/>
      <c r="AJ198" s="21">
        <f>IF(AN198=0,J198,0)</f>
        <v>0</v>
      </c>
      <c r="AK198" s="21">
        <f>IF(AN198=15,J198,0)</f>
        <v>0</v>
      </c>
      <c r="AL198" s="21">
        <f>IF(AN198=21,J198,0)</f>
        <v>0</v>
      </c>
      <c r="AN198" s="21">
        <v>21</v>
      </c>
      <c r="AO198" s="21">
        <f>G198*1</f>
        <v>0</v>
      </c>
      <c r="AP198" s="21">
        <f>G198*(1-1)</f>
        <v>0</v>
      </c>
      <c r="AQ198" s="23" t="s">
        <v>51</v>
      </c>
      <c r="AV198" s="21">
        <f>AW198+AX198</f>
        <v>0</v>
      </c>
      <c r="AW198" s="21">
        <f>F198*AO198</f>
        <v>0</v>
      </c>
      <c r="AX198" s="21">
        <f>F198*AP198</f>
        <v>0</v>
      </c>
      <c r="AY198" s="23" t="s">
        <v>190</v>
      </c>
      <c r="AZ198" s="23" t="s">
        <v>137</v>
      </c>
      <c r="BA198" s="10" t="s">
        <v>58</v>
      </c>
      <c r="BC198" s="21">
        <f>AW198+AX198</f>
        <v>0</v>
      </c>
      <c r="BD198" s="21">
        <f>G198/(100-BE198)*100</f>
        <v>0</v>
      </c>
      <c r="BE198" s="21">
        <v>0</v>
      </c>
      <c r="BF198" s="21">
        <f>L198</f>
        <v>0.114</v>
      </c>
      <c r="BH198" s="21">
        <f>F198*AO198</f>
        <v>0</v>
      </c>
      <c r="BI198" s="21">
        <f>F198*AP198</f>
        <v>0</v>
      </c>
      <c r="BJ198" s="21">
        <f>F198*G198</f>
        <v>0</v>
      </c>
      <c r="BK198" s="21" t="s">
        <v>201</v>
      </c>
      <c r="BL198" s="21">
        <v>59</v>
      </c>
    </row>
    <row r="199" spans="1:14" ht="15">
      <c r="A199" s="2"/>
      <c r="C199" s="24" t="s">
        <v>63</v>
      </c>
      <c r="D199" s="24"/>
      <c r="F199" s="25">
        <v>2</v>
      </c>
      <c r="M199" s="26"/>
      <c r="N199" s="2"/>
    </row>
    <row r="200" spans="1:14" ht="15">
      <c r="A200" s="2"/>
      <c r="B200" s="27" t="s">
        <v>61</v>
      </c>
      <c r="C200" s="634" t="s">
        <v>713</v>
      </c>
      <c r="D200" s="635"/>
      <c r="E200" s="635"/>
      <c r="F200" s="635"/>
      <c r="G200" s="635"/>
      <c r="H200" s="635"/>
      <c r="I200" s="635"/>
      <c r="J200" s="635"/>
      <c r="K200" s="635"/>
      <c r="L200" s="635"/>
      <c r="M200" s="636"/>
      <c r="N200" s="2"/>
    </row>
    <row r="201" spans="1:64" ht="15">
      <c r="A201" s="20" t="s">
        <v>369</v>
      </c>
      <c r="B201" s="3" t="s">
        <v>714</v>
      </c>
      <c r="C201" s="618" t="s">
        <v>715</v>
      </c>
      <c r="D201" s="608"/>
      <c r="E201" s="3" t="s">
        <v>260</v>
      </c>
      <c r="F201" s="21">
        <v>2</v>
      </c>
      <c r="G201" s="537"/>
      <c r="H201" s="21">
        <f>F201*AO201</f>
        <v>0</v>
      </c>
      <c r="I201" s="21">
        <f>F201*AP201</f>
        <v>0</v>
      </c>
      <c r="J201" s="21">
        <f>F201*G201</f>
        <v>0</v>
      </c>
      <c r="K201" s="21">
        <v>0.097</v>
      </c>
      <c r="L201" s="21">
        <f>F201*K201</f>
        <v>0.194</v>
      </c>
      <c r="M201" s="22" t="s">
        <v>55</v>
      </c>
      <c r="N201" s="2"/>
      <c r="Z201" s="21">
        <f>IF(AQ201="5",BJ201,0)</f>
        <v>0</v>
      </c>
      <c r="AB201" s="21">
        <f>IF(AQ201="1",BH201,0)</f>
        <v>0</v>
      </c>
      <c r="AC201" s="21">
        <f>IF(AQ201="1",BI201,0)</f>
        <v>0</v>
      </c>
      <c r="AD201" s="21">
        <f>IF(AQ201="7",BH201,0)</f>
        <v>0</v>
      </c>
      <c r="AE201" s="21">
        <f>IF(AQ201="7",BI201,0)</f>
        <v>0</v>
      </c>
      <c r="AF201" s="21">
        <f>IF(AQ201="2",BH201,0)</f>
        <v>0</v>
      </c>
      <c r="AG201" s="21">
        <f>IF(AQ201="2",BI201,0)</f>
        <v>0</v>
      </c>
      <c r="AH201" s="21">
        <f>IF(AQ201="0",BJ201,0)</f>
        <v>0</v>
      </c>
      <c r="AI201" s="10"/>
      <c r="AJ201" s="21">
        <f>IF(AN201=0,J201,0)</f>
        <v>0</v>
      </c>
      <c r="AK201" s="21">
        <f>IF(AN201=15,J201,0)</f>
        <v>0</v>
      </c>
      <c r="AL201" s="21">
        <f>IF(AN201=21,J201,0)</f>
        <v>0</v>
      </c>
      <c r="AN201" s="21">
        <v>21</v>
      </c>
      <c r="AO201" s="21">
        <f>G201*1</f>
        <v>0</v>
      </c>
      <c r="AP201" s="21">
        <f>G201*(1-1)</f>
        <v>0</v>
      </c>
      <c r="AQ201" s="23" t="s">
        <v>51</v>
      </c>
      <c r="AV201" s="21">
        <f>AW201+AX201</f>
        <v>0</v>
      </c>
      <c r="AW201" s="21">
        <f>F201*AO201</f>
        <v>0</v>
      </c>
      <c r="AX201" s="21">
        <f>F201*AP201</f>
        <v>0</v>
      </c>
      <c r="AY201" s="23" t="s">
        <v>190</v>
      </c>
      <c r="AZ201" s="23" t="s">
        <v>137</v>
      </c>
      <c r="BA201" s="10" t="s">
        <v>58</v>
      </c>
      <c r="BC201" s="21">
        <f>AW201+AX201</f>
        <v>0</v>
      </c>
      <c r="BD201" s="21">
        <f>G201/(100-BE201)*100</f>
        <v>0</v>
      </c>
      <c r="BE201" s="21">
        <v>0</v>
      </c>
      <c r="BF201" s="21">
        <f>L201</f>
        <v>0.194</v>
      </c>
      <c r="BH201" s="21">
        <f>F201*AO201</f>
        <v>0</v>
      </c>
      <c r="BI201" s="21">
        <f>F201*AP201</f>
        <v>0</v>
      </c>
      <c r="BJ201" s="21">
        <f>F201*G201</f>
        <v>0</v>
      </c>
      <c r="BK201" s="21" t="s">
        <v>201</v>
      </c>
      <c r="BL201" s="21">
        <v>59</v>
      </c>
    </row>
    <row r="202" spans="1:14" ht="15">
      <c r="A202" s="2"/>
      <c r="C202" s="24" t="s">
        <v>63</v>
      </c>
      <c r="D202" s="24"/>
      <c r="F202" s="25">
        <v>2</v>
      </c>
      <c r="M202" s="26"/>
      <c r="N202" s="2"/>
    </row>
    <row r="203" spans="1:14" ht="15">
      <c r="A203" s="2"/>
      <c r="B203" s="27" t="s">
        <v>61</v>
      </c>
      <c r="C203" s="634" t="s">
        <v>713</v>
      </c>
      <c r="D203" s="635"/>
      <c r="E203" s="635"/>
      <c r="F203" s="635"/>
      <c r="G203" s="635"/>
      <c r="H203" s="635"/>
      <c r="I203" s="635"/>
      <c r="J203" s="635"/>
      <c r="K203" s="635"/>
      <c r="L203" s="635"/>
      <c r="M203" s="636"/>
      <c r="N203" s="2"/>
    </row>
    <row r="204" spans="1:64" ht="15">
      <c r="A204" s="20" t="s">
        <v>377</v>
      </c>
      <c r="B204" s="3" t="s">
        <v>716</v>
      </c>
      <c r="C204" s="618" t="s">
        <v>717</v>
      </c>
      <c r="D204" s="608"/>
      <c r="E204" s="3" t="s">
        <v>260</v>
      </c>
      <c r="F204" s="21">
        <v>3</v>
      </c>
      <c r="G204" s="537"/>
      <c r="H204" s="21">
        <f>F204*AO204</f>
        <v>0</v>
      </c>
      <c r="I204" s="21">
        <f>F204*AP204</f>
        <v>0</v>
      </c>
      <c r="J204" s="21">
        <f>F204*G204</f>
        <v>0</v>
      </c>
      <c r="K204" s="21">
        <v>0.22272</v>
      </c>
      <c r="L204" s="21">
        <f>F204*K204</f>
        <v>0.66816</v>
      </c>
      <c r="M204" s="22" t="s">
        <v>55</v>
      </c>
      <c r="N204" s="2"/>
      <c r="Z204" s="21">
        <f>IF(AQ204="5",BJ204,0)</f>
        <v>0</v>
      </c>
      <c r="AB204" s="21">
        <f>IF(AQ204="1",BH204,0)</f>
        <v>0</v>
      </c>
      <c r="AC204" s="21">
        <f>IF(AQ204="1",BI204,0)</f>
        <v>0</v>
      </c>
      <c r="AD204" s="21">
        <f>IF(AQ204="7",BH204,0)</f>
        <v>0</v>
      </c>
      <c r="AE204" s="21">
        <f>IF(AQ204="7",BI204,0)</f>
        <v>0</v>
      </c>
      <c r="AF204" s="21">
        <f>IF(AQ204="2",BH204,0)</f>
        <v>0</v>
      </c>
      <c r="AG204" s="21">
        <f>IF(AQ204="2",BI204,0)</f>
        <v>0</v>
      </c>
      <c r="AH204" s="21">
        <f>IF(AQ204="0",BJ204,0)</f>
        <v>0</v>
      </c>
      <c r="AI204" s="10"/>
      <c r="AJ204" s="21">
        <f>IF(AN204=0,J204,0)</f>
        <v>0</v>
      </c>
      <c r="AK204" s="21">
        <f>IF(AN204=15,J204,0)</f>
        <v>0</v>
      </c>
      <c r="AL204" s="21">
        <f>IF(AN204=21,J204,0)</f>
        <v>0</v>
      </c>
      <c r="AN204" s="21">
        <v>21</v>
      </c>
      <c r="AO204" s="21">
        <f>G204*0.456551797964299</f>
        <v>0</v>
      </c>
      <c r="AP204" s="21">
        <f>G204*(1-0.456551797964299)</f>
        <v>0</v>
      </c>
      <c r="AQ204" s="23" t="s">
        <v>51</v>
      </c>
      <c r="AV204" s="21">
        <f>AW204+AX204</f>
        <v>0</v>
      </c>
      <c r="AW204" s="21">
        <f>F204*AO204</f>
        <v>0</v>
      </c>
      <c r="AX204" s="21">
        <f>F204*AP204</f>
        <v>0</v>
      </c>
      <c r="AY204" s="23" t="s">
        <v>190</v>
      </c>
      <c r="AZ204" s="23" t="s">
        <v>137</v>
      </c>
      <c r="BA204" s="10" t="s">
        <v>58</v>
      </c>
      <c r="BC204" s="21">
        <f>AW204+AX204</f>
        <v>0</v>
      </c>
      <c r="BD204" s="21">
        <f>G204/(100-BE204)*100</f>
        <v>0</v>
      </c>
      <c r="BE204" s="21">
        <v>0</v>
      </c>
      <c r="BF204" s="21">
        <f>L204</f>
        <v>0.66816</v>
      </c>
      <c r="BH204" s="21">
        <f>F204*AO204</f>
        <v>0</v>
      </c>
      <c r="BI204" s="21">
        <f>F204*AP204</f>
        <v>0</v>
      </c>
      <c r="BJ204" s="21">
        <f>F204*G204</f>
        <v>0</v>
      </c>
      <c r="BK204" s="21" t="s">
        <v>59</v>
      </c>
      <c r="BL204" s="21">
        <v>59</v>
      </c>
    </row>
    <row r="205" spans="1:14" ht="15">
      <c r="A205" s="2"/>
      <c r="C205" s="24" t="s">
        <v>67</v>
      </c>
      <c r="D205" s="24"/>
      <c r="F205" s="25">
        <v>3</v>
      </c>
      <c r="M205" s="26"/>
      <c r="N205" s="2"/>
    </row>
    <row r="206" spans="1:14" ht="25.65" customHeight="1">
      <c r="A206" s="2"/>
      <c r="B206" s="27" t="s">
        <v>61</v>
      </c>
      <c r="C206" s="634" t="s">
        <v>718</v>
      </c>
      <c r="D206" s="635"/>
      <c r="E206" s="635"/>
      <c r="F206" s="635"/>
      <c r="G206" s="635"/>
      <c r="H206" s="635"/>
      <c r="I206" s="635"/>
      <c r="J206" s="635"/>
      <c r="K206" s="635"/>
      <c r="L206" s="635"/>
      <c r="M206" s="636"/>
      <c r="N206" s="2"/>
    </row>
    <row r="207" spans="1:64" ht="15">
      <c r="A207" s="20" t="s">
        <v>382</v>
      </c>
      <c r="B207" s="3" t="s">
        <v>719</v>
      </c>
      <c r="C207" s="618" t="s">
        <v>720</v>
      </c>
      <c r="D207" s="608"/>
      <c r="E207" s="3" t="s">
        <v>260</v>
      </c>
      <c r="F207" s="21">
        <v>3</v>
      </c>
      <c r="G207" s="537"/>
      <c r="H207" s="21">
        <f>F207*AO207</f>
        <v>0</v>
      </c>
      <c r="I207" s="21">
        <f>F207*AP207</f>
        <v>0</v>
      </c>
      <c r="J207" s="21">
        <f>F207*G207</f>
        <v>0</v>
      </c>
      <c r="K207" s="21">
        <v>0.5</v>
      </c>
      <c r="L207" s="21">
        <f>F207*K207</f>
        <v>1.5</v>
      </c>
      <c r="M207" s="539" t="s">
        <v>2130</v>
      </c>
      <c r="N207" s="2"/>
      <c r="Z207" s="21">
        <f>IF(AQ207="5",BJ207,0)</f>
        <v>0</v>
      </c>
      <c r="AB207" s="21">
        <f>IF(AQ207="1",BH207,0)</f>
        <v>0</v>
      </c>
      <c r="AC207" s="21">
        <f>IF(AQ207="1",BI207,0)</f>
        <v>0</v>
      </c>
      <c r="AD207" s="21">
        <f>IF(AQ207="7",BH207,0)</f>
        <v>0</v>
      </c>
      <c r="AE207" s="21">
        <f>IF(AQ207="7",BI207,0)</f>
        <v>0</v>
      </c>
      <c r="AF207" s="21">
        <f>IF(AQ207="2",BH207,0)</f>
        <v>0</v>
      </c>
      <c r="AG207" s="21">
        <f>IF(AQ207="2",BI207,0)</f>
        <v>0</v>
      </c>
      <c r="AH207" s="21">
        <f>IF(AQ207="0",BJ207,0)</f>
        <v>0</v>
      </c>
      <c r="AI207" s="10"/>
      <c r="AJ207" s="21">
        <f>IF(AN207=0,J207,0)</f>
        <v>0</v>
      </c>
      <c r="AK207" s="21">
        <f>IF(AN207=15,J207,0)</f>
        <v>0</v>
      </c>
      <c r="AL207" s="21">
        <f>IF(AN207=21,J207,0)</f>
        <v>0</v>
      </c>
      <c r="AN207" s="21">
        <v>21</v>
      </c>
      <c r="AO207" s="21">
        <f>G207*1</f>
        <v>0</v>
      </c>
      <c r="AP207" s="21">
        <f>G207*(1-1)</f>
        <v>0</v>
      </c>
      <c r="AQ207" s="23" t="s">
        <v>51</v>
      </c>
      <c r="AV207" s="21">
        <f>AW207+AX207</f>
        <v>0</v>
      </c>
      <c r="AW207" s="21">
        <f>F207*AO207</f>
        <v>0</v>
      </c>
      <c r="AX207" s="21">
        <f>F207*AP207</f>
        <v>0</v>
      </c>
      <c r="AY207" s="23" t="s">
        <v>190</v>
      </c>
      <c r="AZ207" s="23" t="s">
        <v>137</v>
      </c>
      <c r="BA207" s="10" t="s">
        <v>58</v>
      </c>
      <c r="BC207" s="21">
        <f>AW207+AX207</f>
        <v>0</v>
      </c>
      <c r="BD207" s="21">
        <f>G207/(100-BE207)*100</f>
        <v>0</v>
      </c>
      <c r="BE207" s="21">
        <v>0</v>
      </c>
      <c r="BF207" s="21">
        <f>L207</f>
        <v>1.5</v>
      </c>
      <c r="BH207" s="21">
        <f>F207*AO207</f>
        <v>0</v>
      </c>
      <c r="BI207" s="21">
        <f>F207*AP207</f>
        <v>0</v>
      </c>
      <c r="BJ207" s="21">
        <f>F207*G207</f>
        <v>0</v>
      </c>
      <c r="BK207" s="21" t="s">
        <v>201</v>
      </c>
      <c r="BL207" s="21">
        <v>59</v>
      </c>
    </row>
    <row r="208" spans="1:14" ht="15">
      <c r="A208" s="2"/>
      <c r="C208" s="24" t="s">
        <v>67</v>
      </c>
      <c r="D208" s="24"/>
      <c r="F208" s="25">
        <v>3</v>
      </c>
      <c r="M208" s="26"/>
      <c r="N208" s="2"/>
    </row>
    <row r="209" spans="1:64" ht="15">
      <c r="A209" s="20" t="s">
        <v>385</v>
      </c>
      <c r="B209" s="3" t="s">
        <v>721</v>
      </c>
      <c r="C209" s="618" t="s">
        <v>722</v>
      </c>
      <c r="D209" s="608"/>
      <c r="E209" s="3" t="s">
        <v>260</v>
      </c>
      <c r="F209" s="21">
        <v>1</v>
      </c>
      <c r="G209" s="537"/>
      <c r="H209" s="21">
        <f>F209*AO209</f>
        <v>0</v>
      </c>
      <c r="I209" s="21">
        <f>F209*AP209</f>
        <v>0</v>
      </c>
      <c r="J209" s="21">
        <f>F209*G209</f>
        <v>0</v>
      </c>
      <c r="K209" s="21">
        <v>0.00072</v>
      </c>
      <c r="L209" s="21">
        <f>F209*K209</f>
        <v>0.00072</v>
      </c>
      <c r="M209" s="22" t="s">
        <v>55</v>
      </c>
      <c r="N209" s="2"/>
      <c r="Z209" s="21">
        <f>IF(AQ209="5",BJ209,0)</f>
        <v>0</v>
      </c>
      <c r="AB209" s="21">
        <f>IF(AQ209="1",BH209,0)</f>
        <v>0</v>
      </c>
      <c r="AC209" s="21">
        <f>IF(AQ209="1",BI209,0)</f>
        <v>0</v>
      </c>
      <c r="AD209" s="21">
        <f>IF(AQ209="7",BH209,0)</f>
        <v>0</v>
      </c>
      <c r="AE209" s="21">
        <f>IF(AQ209="7",BI209,0)</f>
        <v>0</v>
      </c>
      <c r="AF209" s="21">
        <f>IF(AQ209="2",BH209,0)</f>
        <v>0</v>
      </c>
      <c r="AG209" s="21">
        <f>IF(AQ209="2",BI209,0)</f>
        <v>0</v>
      </c>
      <c r="AH209" s="21">
        <f>IF(AQ209="0",BJ209,0)</f>
        <v>0</v>
      </c>
      <c r="AI209" s="10"/>
      <c r="AJ209" s="21">
        <f>IF(AN209=0,J209,0)</f>
        <v>0</v>
      </c>
      <c r="AK209" s="21">
        <f>IF(AN209=15,J209,0)</f>
        <v>0</v>
      </c>
      <c r="AL209" s="21">
        <f>IF(AN209=21,J209,0)</f>
        <v>0</v>
      </c>
      <c r="AN209" s="21">
        <v>21</v>
      </c>
      <c r="AO209" s="21">
        <f>G209*0.563863313353519</f>
        <v>0</v>
      </c>
      <c r="AP209" s="21">
        <f>G209*(1-0.563863313353519)</f>
        <v>0</v>
      </c>
      <c r="AQ209" s="23" t="s">
        <v>51</v>
      </c>
      <c r="AV209" s="21">
        <f>AW209+AX209</f>
        <v>0</v>
      </c>
      <c r="AW209" s="21">
        <f>F209*AO209</f>
        <v>0</v>
      </c>
      <c r="AX209" s="21">
        <f>F209*AP209</f>
        <v>0</v>
      </c>
      <c r="AY209" s="23" t="s">
        <v>190</v>
      </c>
      <c r="AZ209" s="23" t="s">
        <v>137</v>
      </c>
      <c r="BA209" s="10" t="s">
        <v>58</v>
      </c>
      <c r="BC209" s="21">
        <f>AW209+AX209</f>
        <v>0</v>
      </c>
      <c r="BD209" s="21">
        <f>G209/(100-BE209)*100</f>
        <v>0</v>
      </c>
      <c r="BE209" s="21">
        <v>0</v>
      </c>
      <c r="BF209" s="21">
        <f>L209</f>
        <v>0.00072</v>
      </c>
      <c r="BH209" s="21">
        <f>F209*AO209</f>
        <v>0</v>
      </c>
      <c r="BI209" s="21">
        <f>F209*AP209</f>
        <v>0</v>
      </c>
      <c r="BJ209" s="21">
        <f>F209*G209</f>
        <v>0</v>
      </c>
      <c r="BK209" s="21" t="s">
        <v>59</v>
      </c>
      <c r="BL209" s="21">
        <v>59</v>
      </c>
    </row>
    <row r="210" spans="1:14" ht="15">
      <c r="A210" s="2"/>
      <c r="C210" s="24" t="s">
        <v>51</v>
      </c>
      <c r="D210" s="24"/>
      <c r="F210" s="25">
        <v>1</v>
      </c>
      <c r="M210" s="26"/>
      <c r="N210" s="2"/>
    </row>
    <row r="211" spans="1:14" ht="15">
      <c r="A211" s="2"/>
      <c r="B211" s="27" t="s">
        <v>61</v>
      </c>
      <c r="C211" s="634" t="s">
        <v>723</v>
      </c>
      <c r="D211" s="635"/>
      <c r="E211" s="635"/>
      <c r="F211" s="635"/>
      <c r="G211" s="635"/>
      <c r="H211" s="635"/>
      <c r="I211" s="635"/>
      <c r="J211" s="635"/>
      <c r="K211" s="635"/>
      <c r="L211" s="635"/>
      <c r="M211" s="636"/>
      <c r="N211" s="2"/>
    </row>
    <row r="212" spans="1:64" ht="15">
      <c r="A212" s="20" t="s">
        <v>388</v>
      </c>
      <c r="B212" s="3" t="s">
        <v>724</v>
      </c>
      <c r="C212" s="618" t="s">
        <v>725</v>
      </c>
      <c r="D212" s="608"/>
      <c r="E212" s="3" t="s">
        <v>260</v>
      </c>
      <c r="F212" s="21">
        <v>1</v>
      </c>
      <c r="G212" s="537"/>
      <c r="H212" s="21">
        <f>F212*AO212</f>
        <v>0</v>
      </c>
      <c r="I212" s="21">
        <f>F212*AP212</f>
        <v>0</v>
      </c>
      <c r="J212" s="21">
        <f>F212*G212</f>
        <v>0</v>
      </c>
      <c r="K212" s="21">
        <v>0.01</v>
      </c>
      <c r="L212" s="21">
        <f>F212*K212</f>
        <v>0.01</v>
      </c>
      <c r="M212" s="539" t="s">
        <v>2130</v>
      </c>
      <c r="N212" s="2"/>
      <c r="Z212" s="21">
        <f>IF(AQ212="5",BJ212,0)</f>
        <v>0</v>
      </c>
      <c r="AB212" s="21">
        <f>IF(AQ212="1",BH212,0)</f>
        <v>0</v>
      </c>
      <c r="AC212" s="21">
        <f>IF(AQ212="1",BI212,0)</f>
        <v>0</v>
      </c>
      <c r="AD212" s="21">
        <f>IF(AQ212="7",BH212,0)</f>
        <v>0</v>
      </c>
      <c r="AE212" s="21">
        <f>IF(AQ212="7",BI212,0)</f>
        <v>0</v>
      </c>
      <c r="AF212" s="21">
        <f>IF(AQ212="2",BH212,0)</f>
        <v>0</v>
      </c>
      <c r="AG212" s="21">
        <f>IF(AQ212="2",BI212,0)</f>
        <v>0</v>
      </c>
      <c r="AH212" s="21">
        <f>IF(AQ212="0",BJ212,0)</f>
        <v>0</v>
      </c>
      <c r="AI212" s="10"/>
      <c r="AJ212" s="21">
        <f>IF(AN212=0,J212,0)</f>
        <v>0</v>
      </c>
      <c r="AK212" s="21">
        <f>IF(AN212=15,J212,0)</f>
        <v>0</v>
      </c>
      <c r="AL212" s="21">
        <f>IF(AN212=21,J212,0)</f>
        <v>0</v>
      </c>
      <c r="AN212" s="21">
        <v>21</v>
      </c>
      <c r="AO212" s="21">
        <f>G212*1</f>
        <v>0</v>
      </c>
      <c r="AP212" s="21">
        <f>G212*(1-1)</f>
        <v>0</v>
      </c>
      <c r="AQ212" s="23" t="s">
        <v>51</v>
      </c>
      <c r="AV212" s="21">
        <f>AW212+AX212</f>
        <v>0</v>
      </c>
      <c r="AW212" s="21">
        <f>F212*AO212</f>
        <v>0</v>
      </c>
      <c r="AX212" s="21">
        <f>F212*AP212</f>
        <v>0</v>
      </c>
      <c r="AY212" s="23" t="s">
        <v>190</v>
      </c>
      <c r="AZ212" s="23" t="s">
        <v>137</v>
      </c>
      <c r="BA212" s="10" t="s">
        <v>58</v>
      </c>
      <c r="BC212" s="21">
        <f>AW212+AX212</f>
        <v>0</v>
      </c>
      <c r="BD212" s="21">
        <f>G212/(100-BE212)*100</f>
        <v>0</v>
      </c>
      <c r="BE212" s="21">
        <v>0</v>
      </c>
      <c r="BF212" s="21">
        <f>L212</f>
        <v>0.01</v>
      </c>
      <c r="BH212" s="21">
        <f>F212*AO212</f>
        <v>0</v>
      </c>
      <c r="BI212" s="21">
        <f>F212*AP212</f>
        <v>0</v>
      </c>
      <c r="BJ212" s="21">
        <f>F212*G212</f>
        <v>0</v>
      </c>
      <c r="BK212" s="21" t="s">
        <v>201</v>
      </c>
      <c r="BL212" s="21">
        <v>59</v>
      </c>
    </row>
    <row r="213" spans="1:14" ht="15">
      <c r="A213" s="2"/>
      <c r="C213" s="24" t="s">
        <v>51</v>
      </c>
      <c r="D213" s="24"/>
      <c r="F213" s="25">
        <v>1</v>
      </c>
      <c r="M213" s="26"/>
      <c r="N213" s="2"/>
    </row>
    <row r="214" spans="1:64" ht="15">
      <c r="A214" s="20" t="s">
        <v>391</v>
      </c>
      <c r="B214" s="3" t="s">
        <v>726</v>
      </c>
      <c r="C214" s="618" t="s">
        <v>727</v>
      </c>
      <c r="D214" s="608"/>
      <c r="E214" s="3" t="s">
        <v>74</v>
      </c>
      <c r="F214" s="21">
        <v>43</v>
      </c>
      <c r="G214" s="537"/>
      <c r="H214" s="21">
        <f>F214*AO214</f>
        <v>0</v>
      </c>
      <c r="I214" s="21">
        <f>F214*AP214</f>
        <v>0</v>
      </c>
      <c r="J214" s="21">
        <f>F214*G214</f>
        <v>0</v>
      </c>
      <c r="K214" s="21">
        <v>0.00072</v>
      </c>
      <c r="L214" s="21">
        <f>F214*K214</f>
        <v>0.03096</v>
      </c>
      <c r="M214" s="539" t="s">
        <v>2130</v>
      </c>
      <c r="N214" s="2"/>
      <c r="Z214" s="21">
        <f>IF(AQ214="5",BJ214,0)</f>
        <v>0</v>
      </c>
      <c r="AB214" s="21">
        <f>IF(AQ214="1",BH214,0)</f>
        <v>0</v>
      </c>
      <c r="AC214" s="21">
        <f>IF(AQ214="1",BI214,0)</f>
        <v>0</v>
      </c>
      <c r="AD214" s="21">
        <f>IF(AQ214="7",BH214,0)</f>
        <v>0</v>
      </c>
      <c r="AE214" s="21">
        <f>IF(AQ214="7",BI214,0)</f>
        <v>0</v>
      </c>
      <c r="AF214" s="21">
        <f>IF(AQ214="2",BH214,0)</f>
        <v>0</v>
      </c>
      <c r="AG214" s="21">
        <f>IF(AQ214="2",BI214,0)</f>
        <v>0</v>
      </c>
      <c r="AH214" s="21">
        <f>IF(AQ214="0",BJ214,0)</f>
        <v>0</v>
      </c>
      <c r="AI214" s="10"/>
      <c r="AJ214" s="21">
        <f>IF(AN214=0,J214,0)</f>
        <v>0</v>
      </c>
      <c r="AK214" s="21">
        <f>IF(AN214=15,J214,0)</f>
        <v>0</v>
      </c>
      <c r="AL214" s="21">
        <f>IF(AN214=21,J214,0)</f>
        <v>0</v>
      </c>
      <c r="AN214" s="21">
        <v>21</v>
      </c>
      <c r="AO214" s="21">
        <f>G214*0.5638</f>
        <v>0</v>
      </c>
      <c r="AP214" s="21">
        <f>G214*(1-0.5638)</f>
        <v>0</v>
      </c>
      <c r="AQ214" s="23" t="s">
        <v>51</v>
      </c>
      <c r="AV214" s="21">
        <f>AW214+AX214</f>
        <v>0</v>
      </c>
      <c r="AW214" s="21">
        <f>F214*AO214</f>
        <v>0</v>
      </c>
      <c r="AX214" s="21">
        <f>F214*AP214</f>
        <v>0</v>
      </c>
      <c r="AY214" s="23" t="s">
        <v>190</v>
      </c>
      <c r="AZ214" s="23" t="s">
        <v>137</v>
      </c>
      <c r="BA214" s="10" t="s">
        <v>58</v>
      </c>
      <c r="BC214" s="21">
        <f>AW214+AX214</f>
        <v>0</v>
      </c>
      <c r="BD214" s="21">
        <f>G214/(100-BE214)*100</f>
        <v>0</v>
      </c>
      <c r="BE214" s="21">
        <v>0</v>
      </c>
      <c r="BF214" s="21">
        <f>L214</f>
        <v>0.03096</v>
      </c>
      <c r="BH214" s="21">
        <f>F214*AO214</f>
        <v>0</v>
      </c>
      <c r="BI214" s="21">
        <f>F214*AP214</f>
        <v>0</v>
      </c>
      <c r="BJ214" s="21">
        <f>F214*G214</f>
        <v>0</v>
      </c>
      <c r="BK214" s="21" t="s">
        <v>59</v>
      </c>
      <c r="BL214" s="21">
        <v>59</v>
      </c>
    </row>
    <row r="215" spans="1:14" ht="15">
      <c r="A215" s="2"/>
      <c r="C215" s="24" t="s">
        <v>728</v>
      </c>
      <c r="D215" s="24"/>
      <c r="F215" s="25">
        <v>43</v>
      </c>
      <c r="M215" s="26"/>
      <c r="N215" s="2"/>
    </row>
    <row r="216" spans="1:47" ht="15">
      <c r="A216" s="41"/>
      <c r="B216" s="42" t="s">
        <v>279</v>
      </c>
      <c r="C216" s="637" t="s">
        <v>280</v>
      </c>
      <c r="D216" s="638"/>
      <c r="E216" s="43" t="s">
        <v>4</v>
      </c>
      <c r="F216" s="43" t="s">
        <v>4</v>
      </c>
      <c r="G216" s="43" t="s">
        <v>4</v>
      </c>
      <c r="H216" s="44">
        <f>SUM(H217:H221)</f>
        <v>0</v>
      </c>
      <c r="I216" s="44">
        <f>SUM(I217:I221)</f>
        <v>0</v>
      </c>
      <c r="J216" s="44">
        <f>SUM(J217:J221)</f>
        <v>0</v>
      </c>
      <c r="K216" s="45"/>
      <c r="L216" s="44">
        <f>SUM(L217:L221)</f>
        <v>0.5239199999999999</v>
      </c>
      <c r="M216" s="46"/>
      <c r="N216" s="2"/>
      <c r="AI216" s="10"/>
      <c r="AS216" s="19">
        <f>SUM(AJ217:AJ221)</f>
        <v>0</v>
      </c>
      <c r="AT216" s="19">
        <f>SUM(AK217:AK221)</f>
        <v>0</v>
      </c>
      <c r="AU216" s="19">
        <f>SUM(AL217:AL221)</f>
        <v>0</v>
      </c>
    </row>
    <row r="217" spans="1:64" ht="15">
      <c r="A217" s="20" t="s">
        <v>394</v>
      </c>
      <c r="B217" s="3" t="s">
        <v>282</v>
      </c>
      <c r="C217" s="618" t="s">
        <v>283</v>
      </c>
      <c r="D217" s="608"/>
      <c r="E217" s="3" t="s">
        <v>74</v>
      </c>
      <c r="F217" s="21">
        <v>4</v>
      </c>
      <c r="G217" s="537"/>
      <c r="H217" s="21">
        <f>F217*AO217</f>
        <v>0</v>
      </c>
      <c r="I217" s="21">
        <f>F217*AP217</f>
        <v>0</v>
      </c>
      <c r="J217" s="21">
        <f>F217*G217</f>
        <v>0</v>
      </c>
      <c r="K217" s="21">
        <v>0.02438</v>
      </c>
      <c r="L217" s="21">
        <f>F217*K217</f>
        <v>0.09752</v>
      </c>
      <c r="M217" s="22" t="s">
        <v>55</v>
      </c>
      <c r="N217" s="2"/>
      <c r="Z217" s="21">
        <f>IF(AQ217="5",BJ217,0)</f>
        <v>0</v>
      </c>
      <c r="AB217" s="21">
        <f>IF(AQ217="1",BH217,0)</f>
        <v>0</v>
      </c>
      <c r="AC217" s="21">
        <f>IF(AQ217="1",BI217,0)</f>
        <v>0</v>
      </c>
      <c r="AD217" s="21">
        <f>IF(AQ217="7",BH217,0)</f>
        <v>0</v>
      </c>
      <c r="AE217" s="21">
        <f>IF(AQ217="7",BI217,0)</f>
        <v>0</v>
      </c>
      <c r="AF217" s="21">
        <f>IF(AQ217="2",BH217,0)</f>
        <v>0</v>
      </c>
      <c r="AG217" s="21">
        <f>IF(AQ217="2",BI217,0)</f>
        <v>0</v>
      </c>
      <c r="AH217" s="21">
        <f>IF(AQ217="0",BJ217,0)</f>
        <v>0</v>
      </c>
      <c r="AI217" s="10"/>
      <c r="AJ217" s="21">
        <f>IF(AN217=0,J217,0)</f>
        <v>0</v>
      </c>
      <c r="AK217" s="21">
        <f>IF(AN217=15,J217,0)</f>
        <v>0</v>
      </c>
      <c r="AL217" s="21">
        <f>IF(AN217=21,J217,0)</f>
        <v>0</v>
      </c>
      <c r="AN217" s="21">
        <v>21</v>
      </c>
      <c r="AO217" s="21">
        <f>G217*0.784673123486683</f>
        <v>0</v>
      </c>
      <c r="AP217" s="21">
        <f>G217*(1-0.784673123486683)</f>
        <v>0</v>
      </c>
      <c r="AQ217" s="23" t="s">
        <v>51</v>
      </c>
      <c r="AV217" s="21">
        <f>AW217+AX217</f>
        <v>0</v>
      </c>
      <c r="AW217" s="21">
        <f>F217*AO217</f>
        <v>0</v>
      </c>
      <c r="AX217" s="21">
        <f>F217*AP217</f>
        <v>0</v>
      </c>
      <c r="AY217" s="23" t="s">
        <v>284</v>
      </c>
      <c r="AZ217" s="23" t="s">
        <v>285</v>
      </c>
      <c r="BA217" s="10" t="s">
        <v>58</v>
      </c>
      <c r="BC217" s="21">
        <f>AW217+AX217</f>
        <v>0</v>
      </c>
      <c r="BD217" s="21">
        <f>G217/(100-BE217)*100</f>
        <v>0</v>
      </c>
      <c r="BE217" s="21">
        <v>0</v>
      </c>
      <c r="BF217" s="21">
        <f>L217</f>
        <v>0.09752</v>
      </c>
      <c r="BH217" s="21">
        <f>F217*AO217</f>
        <v>0</v>
      </c>
      <c r="BI217" s="21">
        <f>F217*AP217</f>
        <v>0</v>
      </c>
      <c r="BJ217" s="21">
        <f>F217*G217</f>
        <v>0</v>
      </c>
      <c r="BK217" s="21" t="s">
        <v>59</v>
      </c>
      <c r="BL217" s="21">
        <v>83</v>
      </c>
    </row>
    <row r="218" spans="1:14" ht="15">
      <c r="A218" s="2"/>
      <c r="B218" s="27" t="s">
        <v>138</v>
      </c>
      <c r="C218" s="639" t="s">
        <v>286</v>
      </c>
      <c r="D218" s="640"/>
      <c r="E218" s="640"/>
      <c r="F218" s="640"/>
      <c r="G218" s="640"/>
      <c r="H218" s="640"/>
      <c r="I218" s="640"/>
      <c r="J218" s="640"/>
      <c r="K218" s="640"/>
      <c r="L218" s="640"/>
      <c r="M218" s="641"/>
      <c r="N218" s="2"/>
    </row>
    <row r="219" spans="1:14" ht="15">
      <c r="A219" s="2"/>
      <c r="C219" s="24" t="s">
        <v>71</v>
      </c>
      <c r="D219" s="24"/>
      <c r="F219" s="25">
        <v>4</v>
      </c>
      <c r="M219" s="26"/>
      <c r="N219" s="2"/>
    </row>
    <row r="220" spans="1:14" ht="15">
      <c r="A220" s="2"/>
      <c r="B220" s="27" t="s">
        <v>61</v>
      </c>
      <c r="C220" s="634" t="s">
        <v>287</v>
      </c>
      <c r="D220" s="635"/>
      <c r="E220" s="635"/>
      <c r="F220" s="635"/>
      <c r="G220" s="635"/>
      <c r="H220" s="635"/>
      <c r="I220" s="635"/>
      <c r="J220" s="635"/>
      <c r="K220" s="635"/>
      <c r="L220" s="635"/>
      <c r="M220" s="636"/>
      <c r="N220" s="2"/>
    </row>
    <row r="221" spans="1:64" ht="15">
      <c r="A221" s="20" t="s">
        <v>542</v>
      </c>
      <c r="B221" s="3" t="s">
        <v>729</v>
      </c>
      <c r="C221" s="618" t="s">
        <v>730</v>
      </c>
      <c r="D221" s="608"/>
      <c r="E221" s="3" t="s">
        <v>260</v>
      </c>
      <c r="F221" s="21">
        <v>2</v>
      </c>
      <c r="G221" s="537"/>
      <c r="H221" s="21">
        <f>F221*AO221</f>
        <v>0</v>
      </c>
      <c r="I221" s="21">
        <f>F221*AP221</f>
        <v>0</v>
      </c>
      <c r="J221" s="21">
        <f>F221*G221</f>
        <v>0</v>
      </c>
      <c r="K221" s="21">
        <v>0.2132</v>
      </c>
      <c r="L221" s="21">
        <f>F221*K221</f>
        <v>0.4264</v>
      </c>
      <c r="M221" s="539" t="s">
        <v>2130</v>
      </c>
      <c r="N221" s="2"/>
      <c r="Z221" s="21">
        <f>IF(AQ221="5",BJ221,0)</f>
        <v>0</v>
      </c>
      <c r="AB221" s="21">
        <f>IF(AQ221="1",BH221,0)</f>
        <v>0</v>
      </c>
      <c r="AC221" s="21">
        <f>IF(AQ221="1",BI221,0)</f>
        <v>0</v>
      </c>
      <c r="AD221" s="21">
        <f>IF(AQ221="7",BH221,0)</f>
        <v>0</v>
      </c>
      <c r="AE221" s="21">
        <f>IF(AQ221="7",BI221,0)</f>
        <v>0</v>
      </c>
      <c r="AF221" s="21">
        <f>IF(AQ221="2",BH221,0)</f>
        <v>0</v>
      </c>
      <c r="AG221" s="21">
        <f>IF(AQ221="2",BI221,0)</f>
        <v>0</v>
      </c>
      <c r="AH221" s="21">
        <f>IF(AQ221="0",BJ221,0)</f>
        <v>0</v>
      </c>
      <c r="AI221" s="10"/>
      <c r="AJ221" s="21">
        <f>IF(AN221=0,J221,0)</f>
        <v>0</v>
      </c>
      <c r="AK221" s="21">
        <f>IF(AN221=15,J221,0)</f>
        <v>0</v>
      </c>
      <c r="AL221" s="21">
        <f>IF(AN221=21,J221,0)</f>
        <v>0</v>
      </c>
      <c r="AN221" s="21">
        <v>21</v>
      </c>
      <c r="AO221" s="21">
        <f>G221*0.125424</f>
        <v>0</v>
      </c>
      <c r="AP221" s="21">
        <f>G221*(1-0.125424)</f>
        <v>0</v>
      </c>
      <c r="AQ221" s="23" t="s">
        <v>51</v>
      </c>
      <c r="AV221" s="21">
        <f>AW221+AX221</f>
        <v>0</v>
      </c>
      <c r="AW221" s="21">
        <f>F221*AO221</f>
        <v>0</v>
      </c>
      <c r="AX221" s="21">
        <f>F221*AP221</f>
        <v>0</v>
      </c>
      <c r="AY221" s="23" t="s">
        <v>284</v>
      </c>
      <c r="AZ221" s="23" t="s">
        <v>285</v>
      </c>
      <c r="BA221" s="10" t="s">
        <v>58</v>
      </c>
      <c r="BC221" s="21">
        <f>AW221+AX221</f>
        <v>0</v>
      </c>
      <c r="BD221" s="21">
        <f>G221/(100-BE221)*100</f>
        <v>0</v>
      </c>
      <c r="BE221" s="21">
        <v>0</v>
      </c>
      <c r="BF221" s="21">
        <f>L221</f>
        <v>0.4264</v>
      </c>
      <c r="BH221" s="21">
        <f>F221*AO221</f>
        <v>0</v>
      </c>
      <c r="BI221" s="21">
        <f>F221*AP221</f>
        <v>0</v>
      </c>
      <c r="BJ221" s="21">
        <f>F221*G221</f>
        <v>0</v>
      </c>
      <c r="BK221" s="21" t="s">
        <v>59</v>
      </c>
      <c r="BL221" s="21">
        <v>83</v>
      </c>
    </row>
    <row r="222" spans="1:14" ht="15">
      <c r="A222" s="2"/>
      <c r="C222" s="24" t="s">
        <v>63</v>
      </c>
      <c r="D222" s="24"/>
      <c r="F222" s="25">
        <v>2</v>
      </c>
      <c r="M222" s="26"/>
      <c r="N222" s="2"/>
    </row>
    <row r="223" spans="1:47" ht="15">
      <c r="A223" s="41"/>
      <c r="B223" s="42" t="s">
        <v>288</v>
      </c>
      <c r="C223" s="637" t="s">
        <v>289</v>
      </c>
      <c r="D223" s="638"/>
      <c r="E223" s="43" t="s">
        <v>4</v>
      </c>
      <c r="F223" s="43" t="s">
        <v>4</v>
      </c>
      <c r="G223" s="43" t="s">
        <v>4</v>
      </c>
      <c r="H223" s="44">
        <f>SUM(H224:H224)</f>
        <v>0</v>
      </c>
      <c r="I223" s="44">
        <f>SUM(I224:I224)</f>
        <v>0</v>
      </c>
      <c r="J223" s="44">
        <f>SUM(J224:J224)</f>
        <v>0</v>
      </c>
      <c r="K223" s="45"/>
      <c r="L223" s="44">
        <f>SUM(L224:L224)</f>
        <v>1.72376</v>
      </c>
      <c r="M223" s="46"/>
      <c r="N223" s="2"/>
      <c r="AI223" s="10"/>
      <c r="AS223" s="19">
        <f>SUM(AJ224:AJ224)</f>
        <v>0</v>
      </c>
      <c r="AT223" s="19">
        <f>SUM(AK224:AK224)</f>
        <v>0</v>
      </c>
      <c r="AU223" s="19">
        <f>SUM(AL224:AL224)</f>
        <v>0</v>
      </c>
    </row>
    <row r="224" spans="1:64" ht="15">
      <c r="A224" s="20" t="s">
        <v>546</v>
      </c>
      <c r="B224" s="3" t="s">
        <v>291</v>
      </c>
      <c r="C224" s="618" t="s">
        <v>292</v>
      </c>
      <c r="D224" s="608"/>
      <c r="E224" s="3" t="s">
        <v>260</v>
      </c>
      <c r="F224" s="21">
        <v>4</v>
      </c>
      <c r="G224" s="537"/>
      <c r="H224" s="21">
        <f>F224*AO224</f>
        <v>0</v>
      </c>
      <c r="I224" s="21">
        <f>F224*AP224</f>
        <v>0</v>
      </c>
      <c r="J224" s="21">
        <f>F224*G224</f>
        <v>0</v>
      </c>
      <c r="K224" s="21">
        <v>0.43094</v>
      </c>
      <c r="L224" s="21">
        <f>F224*K224</f>
        <v>1.72376</v>
      </c>
      <c r="M224" s="22" t="s">
        <v>55</v>
      </c>
      <c r="N224" s="2"/>
      <c r="Z224" s="21">
        <f>IF(AQ224="5",BJ224,0)</f>
        <v>0</v>
      </c>
      <c r="AB224" s="21">
        <f>IF(AQ224="1",BH224,0)</f>
        <v>0</v>
      </c>
      <c r="AC224" s="21">
        <f>IF(AQ224="1",BI224,0)</f>
        <v>0</v>
      </c>
      <c r="AD224" s="21">
        <f>IF(AQ224="7",BH224,0)</f>
        <v>0</v>
      </c>
      <c r="AE224" s="21">
        <f>IF(AQ224="7",BI224,0)</f>
        <v>0</v>
      </c>
      <c r="AF224" s="21">
        <f>IF(AQ224="2",BH224,0)</f>
        <v>0</v>
      </c>
      <c r="AG224" s="21">
        <f>IF(AQ224="2",BI224,0)</f>
        <v>0</v>
      </c>
      <c r="AH224" s="21">
        <f>IF(AQ224="0",BJ224,0)</f>
        <v>0</v>
      </c>
      <c r="AI224" s="10"/>
      <c r="AJ224" s="21">
        <f>IF(AN224=0,J224,0)</f>
        <v>0</v>
      </c>
      <c r="AK224" s="21">
        <f>IF(AN224=15,J224,0)</f>
        <v>0</v>
      </c>
      <c r="AL224" s="21">
        <f>IF(AN224=21,J224,0)</f>
        <v>0</v>
      </c>
      <c r="AN224" s="21">
        <v>21</v>
      </c>
      <c r="AO224" s="21">
        <f>G224*0.302344</f>
        <v>0</v>
      </c>
      <c r="AP224" s="21">
        <f>G224*(1-0.302344)</f>
        <v>0</v>
      </c>
      <c r="AQ224" s="23" t="s">
        <v>51</v>
      </c>
      <c r="AV224" s="21">
        <f>AW224+AX224</f>
        <v>0</v>
      </c>
      <c r="AW224" s="21">
        <f>F224*AO224</f>
        <v>0</v>
      </c>
      <c r="AX224" s="21">
        <f>F224*AP224</f>
        <v>0</v>
      </c>
      <c r="AY224" s="23" t="s">
        <v>293</v>
      </c>
      <c r="AZ224" s="23" t="s">
        <v>285</v>
      </c>
      <c r="BA224" s="10" t="s">
        <v>58</v>
      </c>
      <c r="BC224" s="21">
        <f>AW224+AX224</f>
        <v>0</v>
      </c>
      <c r="BD224" s="21">
        <f>G224/(100-BE224)*100</f>
        <v>0</v>
      </c>
      <c r="BE224" s="21">
        <v>0</v>
      </c>
      <c r="BF224" s="21">
        <f>L224</f>
        <v>1.72376</v>
      </c>
      <c r="BH224" s="21">
        <f>F224*AO224</f>
        <v>0</v>
      </c>
      <c r="BI224" s="21">
        <f>F224*AP224</f>
        <v>0</v>
      </c>
      <c r="BJ224" s="21">
        <f>F224*G224</f>
        <v>0</v>
      </c>
      <c r="BK224" s="21" t="s">
        <v>59</v>
      </c>
      <c r="BL224" s="21">
        <v>89</v>
      </c>
    </row>
    <row r="225" spans="1:14" ht="15">
      <c r="A225" s="2"/>
      <c r="C225" s="24" t="s">
        <v>71</v>
      </c>
      <c r="D225" s="24"/>
      <c r="F225" s="25">
        <v>4</v>
      </c>
      <c r="M225" s="26"/>
      <c r="N225" s="2"/>
    </row>
    <row r="226" spans="1:47" ht="15">
      <c r="A226" s="41"/>
      <c r="B226" s="42" t="s">
        <v>294</v>
      </c>
      <c r="C226" s="637" t="s">
        <v>295</v>
      </c>
      <c r="D226" s="638"/>
      <c r="E226" s="43" t="s">
        <v>4</v>
      </c>
      <c r="F226" s="43" t="s">
        <v>4</v>
      </c>
      <c r="G226" s="43" t="s">
        <v>4</v>
      </c>
      <c r="H226" s="44">
        <f>SUM(H227:H306)</f>
        <v>0</v>
      </c>
      <c r="I226" s="44">
        <f>SUM(I227:I306)</f>
        <v>0</v>
      </c>
      <c r="J226" s="44">
        <f>SUM(J227:J306)</f>
        <v>0</v>
      </c>
      <c r="K226" s="45"/>
      <c r="L226" s="44">
        <f>SUM(L227:L306)</f>
        <v>55.788390816</v>
      </c>
      <c r="M226" s="46"/>
      <c r="N226" s="2"/>
      <c r="AI226" s="10"/>
      <c r="AS226" s="19">
        <f>SUM(AJ227:AJ306)</f>
        <v>0</v>
      </c>
      <c r="AT226" s="19">
        <f>SUM(AK227:AK306)</f>
        <v>0</v>
      </c>
      <c r="AU226" s="19">
        <f>SUM(AL227:AL306)</f>
        <v>0</v>
      </c>
    </row>
    <row r="227" spans="1:64" ht="15">
      <c r="A227" s="20" t="s">
        <v>547</v>
      </c>
      <c r="B227" s="3" t="s">
        <v>297</v>
      </c>
      <c r="C227" s="618" t="s">
        <v>298</v>
      </c>
      <c r="D227" s="608"/>
      <c r="E227" s="3" t="s">
        <v>74</v>
      </c>
      <c r="F227" s="21">
        <v>194</v>
      </c>
      <c r="G227" s="537"/>
      <c r="H227" s="21">
        <f>F227*AO227</f>
        <v>0</v>
      </c>
      <c r="I227" s="21">
        <f>F227*AP227</f>
        <v>0</v>
      </c>
      <c r="J227" s="21">
        <f>F227*G227</f>
        <v>0</v>
      </c>
      <c r="K227" s="21">
        <v>0.188</v>
      </c>
      <c r="L227" s="21">
        <f>F227*K227</f>
        <v>36.472</v>
      </c>
      <c r="M227" s="22" t="s">
        <v>55</v>
      </c>
      <c r="N227" s="2"/>
      <c r="Z227" s="21">
        <f>IF(AQ227="5",BJ227,0)</f>
        <v>0</v>
      </c>
      <c r="AB227" s="21">
        <f>IF(AQ227="1",BH227,0)</f>
        <v>0</v>
      </c>
      <c r="AC227" s="21">
        <f>IF(AQ227="1",BI227,0)</f>
        <v>0</v>
      </c>
      <c r="AD227" s="21">
        <f>IF(AQ227="7",BH227,0)</f>
        <v>0</v>
      </c>
      <c r="AE227" s="21">
        <f>IF(AQ227="7",BI227,0)</f>
        <v>0</v>
      </c>
      <c r="AF227" s="21">
        <f>IF(AQ227="2",BH227,0)</f>
        <v>0</v>
      </c>
      <c r="AG227" s="21">
        <f>IF(AQ227="2",BI227,0)</f>
        <v>0</v>
      </c>
      <c r="AH227" s="21">
        <f>IF(AQ227="0",BJ227,0)</f>
        <v>0</v>
      </c>
      <c r="AI227" s="10"/>
      <c r="AJ227" s="21">
        <f>IF(AN227=0,J227,0)</f>
        <v>0</v>
      </c>
      <c r="AK227" s="21">
        <f>IF(AN227=15,J227,0)</f>
        <v>0</v>
      </c>
      <c r="AL227" s="21">
        <f>IF(AN227=21,J227,0)</f>
        <v>0</v>
      </c>
      <c r="AN227" s="21">
        <v>21</v>
      </c>
      <c r="AO227" s="21">
        <f>G227*0.559380097879282</f>
        <v>0</v>
      </c>
      <c r="AP227" s="21">
        <f>G227*(1-0.559380097879282)</f>
        <v>0</v>
      </c>
      <c r="AQ227" s="23" t="s">
        <v>51</v>
      </c>
      <c r="AV227" s="21">
        <f>AW227+AX227</f>
        <v>0</v>
      </c>
      <c r="AW227" s="21">
        <f>F227*AO227</f>
        <v>0</v>
      </c>
      <c r="AX227" s="21">
        <f>F227*AP227</f>
        <v>0</v>
      </c>
      <c r="AY227" s="23" t="s">
        <v>299</v>
      </c>
      <c r="AZ227" s="23" t="s">
        <v>300</v>
      </c>
      <c r="BA227" s="10" t="s">
        <v>58</v>
      </c>
      <c r="BC227" s="21">
        <f>AW227+AX227</f>
        <v>0</v>
      </c>
      <c r="BD227" s="21">
        <f>G227/(100-BE227)*100</f>
        <v>0</v>
      </c>
      <c r="BE227" s="21">
        <v>0</v>
      </c>
      <c r="BF227" s="21">
        <f>L227</f>
        <v>36.472</v>
      </c>
      <c r="BH227" s="21">
        <f>F227*AO227</f>
        <v>0</v>
      </c>
      <c r="BI227" s="21">
        <f>F227*AP227</f>
        <v>0</v>
      </c>
      <c r="BJ227" s="21">
        <f>F227*G227</f>
        <v>0</v>
      </c>
      <c r="BK227" s="21" t="s">
        <v>59</v>
      </c>
      <c r="BL227" s="21">
        <v>91</v>
      </c>
    </row>
    <row r="228" spans="1:14" ht="15">
      <c r="A228" s="2"/>
      <c r="C228" s="24" t="s">
        <v>731</v>
      </c>
      <c r="D228" s="24"/>
      <c r="F228" s="25">
        <v>194</v>
      </c>
      <c r="M228" s="26"/>
      <c r="N228" s="2"/>
    </row>
    <row r="229" spans="1:14" ht="15">
      <c r="A229" s="2"/>
      <c r="B229" s="27" t="s">
        <v>61</v>
      </c>
      <c r="C229" s="634" t="s">
        <v>304</v>
      </c>
      <c r="D229" s="635"/>
      <c r="E229" s="635"/>
      <c r="F229" s="635"/>
      <c r="G229" s="635"/>
      <c r="H229" s="635"/>
      <c r="I229" s="635"/>
      <c r="J229" s="635"/>
      <c r="K229" s="635"/>
      <c r="L229" s="635"/>
      <c r="M229" s="636"/>
      <c r="N229" s="2"/>
    </row>
    <row r="230" spans="1:64" ht="15">
      <c r="A230" s="20" t="s">
        <v>548</v>
      </c>
      <c r="B230" s="3" t="s">
        <v>306</v>
      </c>
      <c r="C230" s="618" t="s">
        <v>307</v>
      </c>
      <c r="D230" s="608"/>
      <c r="E230" s="3" t="s">
        <v>260</v>
      </c>
      <c r="F230" s="21">
        <v>33.33</v>
      </c>
      <c r="G230" s="537"/>
      <c r="H230" s="21">
        <f>F230*AO230</f>
        <v>0</v>
      </c>
      <c r="I230" s="21">
        <f>F230*AP230</f>
        <v>0</v>
      </c>
      <c r="J230" s="21">
        <f>F230*G230</f>
        <v>0</v>
      </c>
      <c r="K230" s="21">
        <v>0.08</v>
      </c>
      <c r="L230" s="21">
        <f>F230*K230</f>
        <v>2.6664</v>
      </c>
      <c r="M230" s="22" t="s">
        <v>55</v>
      </c>
      <c r="N230" s="2"/>
      <c r="Z230" s="21">
        <f>IF(AQ230="5",BJ230,0)</f>
        <v>0</v>
      </c>
      <c r="AB230" s="21">
        <f>IF(AQ230="1",BH230,0)</f>
        <v>0</v>
      </c>
      <c r="AC230" s="21">
        <f>IF(AQ230="1",BI230,0)</f>
        <v>0</v>
      </c>
      <c r="AD230" s="21">
        <f>IF(AQ230="7",BH230,0)</f>
        <v>0</v>
      </c>
      <c r="AE230" s="21">
        <f>IF(AQ230="7",BI230,0)</f>
        <v>0</v>
      </c>
      <c r="AF230" s="21">
        <f>IF(AQ230="2",BH230,0)</f>
        <v>0</v>
      </c>
      <c r="AG230" s="21">
        <f>IF(AQ230="2",BI230,0)</f>
        <v>0</v>
      </c>
      <c r="AH230" s="21">
        <f>IF(AQ230="0",BJ230,0)</f>
        <v>0</v>
      </c>
      <c r="AI230" s="10"/>
      <c r="AJ230" s="21">
        <f>IF(AN230=0,J230,0)</f>
        <v>0</v>
      </c>
      <c r="AK230" s="21">
        <f>IF(AN230=15,J230,0)</f>
        <v>0</v>
      </c>
      <c r="AL230" s="21">
        <f>IF(AN230=21,J230,0)</f>
        <v>0</v>
      </c>
      <c r="AN230" s="21">
        <v>21</v>
      </c>
      <c r="AO230" s="21">
        <f>G230*1</f>
        <v>0</v>
      </c>
      <c r="AP230" s="21">
        <f>G230*(1-1)</f>
        <v>0</v>
      </c>
      <c r="AQ230" s="23" t="s">
        <v>51</v>
      </c>
      <c r="AV230" s="21">
        <f>AW230+AX230</f>
        <v>0</v>
      </c>
      <c r="AW230" s="21">
        <f>F230*AO230</f>
        <v>0</v>
      </c>
      <c r="AX230" s="21">
        <f>F230*AP230</f>
        <v>0</v>
      </c>
      <c r="AY230" s="23" t="s">
        <v>299</v>
      </c>
      <c r="AZ230" s="23" t="s">
        <v>300</v>
      </c>
      <c r="BA230" s="10" t="s">
        <v>58</v>
      </c>
      <c r="BC230" s="21">
        <f>AW230+AX230</f>
        <v>0</v>
      </c>
      <c r="BD230" s="21">
        <f>G230/(100-BE230)*100</f>
        <v>0</v>
      </c>
      <c r="BE230" s="21">
        <v>0</v>
      </c>
      <c r="BF230" s="21">
        <f>L230</f>
        <v>2.6664</v>
      </c>
      <c r="BH230" s="21">
        <f>F230*AO230</f>
        <v>0</v>
      </c>
      <c r="BI230" s="21">
        <f>F230*AP230</f>
        <v>0</v>
      </c>
      <c r="BJ230" s="21">
        <f>F230*G230</f>
        <v>0</v>
      </c>
      <c r="BK230" s="21" t="s">
        <v>201</v>
      </c>
      <c r="BL230" s="21">
        <v>91</v>
      </c>
    </row>
    <row r="231" spans="1:14" ht="15">
      <c r="A231" s="2"/>
      <c r="C231" s="24" t="s">
        <v>226</v>
      </c>
      <c r="D231" s="24"/>
      <c r="F231" s="25">
        <v>33</v>
      </c>
      <c r="M231" s="26"/>
      <c r="N231" s="2"/>
    </row>
    <row r="232" spans="1:14" ht="15">
      <c r="A232" s="2"/>
      <c r="C232" s="24" t="s">
        <v>732</v>
      </c>
      <c r="D232" s="24"/>
      <c r="F232" s="25">
        <v>0.33</v>
      </c>
      <c r="M232" s="26"/>
      <c r="N232" s="2"/>
    </row>
    <row r="233" spans="1:14" ht="15">
      <c r="A233" s="2"/>
      <c r="B233" s="27"/>
      <c r="C233" s="634"/>
      <c r="D233" s="635"/>
      <c r="E233" s="635"/>
      <c r="F233" s="635"/>
      <c r="G233" s="635"/>
      <c r="H233" s="635"/>
      <c r="I233" s="635"/>
      <c r="J233" s="635"/>
      <c r="K233" s="635"/>
      <c r="L233" s="635"/>
      <c r="M233" s="636"/>
      <c r="N233" s="2"/>
    </row>
    <row r="234" spans="1:64" ht="15">
      <c r="A234" s="20" t="s">
        <v>549</v>
      </c>
      <c r="B234" s="3" t="s">
        <v>310</v>
      </c>
      <c r="C234" s="618" t="s">
        <v>311</v>
      </c>
      <c r="D234" s="608"/>
      <c r="E234" s="3" t="s">
        <v>260</v>
      </c>
      <c r="F234" s="21">
        <v>75.245</v>
      </c>
      <c r="G234" s="537"/>
      <c r="H234" s="21">
        <f>F234*AO234</f>
        <v>0</v>
      </c>
      <c r="I234" s="21">
        <f>F234*AP234</f>
        <v>0</v>
      </c>
      <c r="J234" s="21">
        <f>F234*G234</f>
        <v>0</v>
      </c>
      <c r="K234" s="21">
        <v>0.046</v>
      </c>
      <c r="L234" s="21">
        <f>F234*K234</f>
        <v>3.4612700000000003</v>
      </c>
      <c r="M234" s="22" t="s">
        <v>55</v>
      </c>
      <c r="N234" s="2"/>
      <c r="Z234" s="21">
        <f>IF(AQ234="5",BJ234,0)</f>
        <v>0</v>
      </c>
      <c r="AB234" s="21">
        <f>IF(AQ234="1",BH234,0)</f>
        <v>0</v>
      </c>
      <c r="AC234" s="21">
        <f>IF(AQ234="1",BI234,0)</f>
        <v>0</v>
      </c>
      <c r="AD234" s="21">
        <f>IF(AQ234="7",BH234,0)</f>
        <v>0</v>
      </c>
      <c r="AE234" s="21">
        <f>IF(AQ234="7",BI234,0)</f>
        <v>0</v>
      </c>
      <c r="AF234" s="21">
        <f>IF(AQ234="2",BH234,0)</f>
        <v>0</v>
      </c>
      <c r="AG234" s="21">
        <f>IF(AQ234="2",BI234,0)</f>
        <v>0</v>
      </c>
      <c r="AH234" s="21">
        <f>IF(AQ234="0",BJ234,0)</f>
        <v>0</v>
      </c>
      <c r="AI234" s="10"/>
      <c r="AJ234" s="21">
        <f>IF(AN234=0,J234,0)</f>
        <v>0</v>
      </c>
      <c r="AK234" s="21">
        <f>IF(AN234=15,J234,0)</f>
        <v>0</v>
      </c>
      <c r="AL234" s="21">
        <f>IF(AN234=21,J234,0)</f>
        <v>0</v>
      </c>
      <c r="AN234" s="21">
        <v>21</v>
      </c>
      <c r="AO234" s="21">
        <f>G234*1</f>
        <v>0</v>
      </c>
      <c r="AP234" s="21">
        <f>G234*(1-1)</f>
        <v>0</v>
      </c>
      <c r="AQ234" s="23" t="s">
        <v>51</v>
      </c>
      <c r="AV234" s="21">
        <f>AW234+AX234</f>
        <v>0</v>
      </c>
      <c r="AW234" s="21">
        <f>F234*AO234</f>
        <v>0</v>
      </c>
      <c r="AX234" s="21">
        <f>F234*AP234</f>
        <v>0</v>
      </c>
      <c r="AY234" s="23" t="s">
        <v>299</v>
      </c>
      <c r="AZ234" s="23" t="s">
        <v>300</v>
      </c>
      <c r="BA234" s="10" t="s">
        <v>58</v>
      </c>
      <c r="BC234" s="21">
        <f>AW234+AX234</f>
        <v>0</v>
      </c>
      <c r="BD234" s="21">
        <f>G234/(100-BE234)*100</f>
        <v>0</v>
      </c>
      <c r="BE234" s="21">
        <v>0</v>
      </c>
      <c r="BF234" s="21">
        <f>L234</f>
        <v>3.4612700000000003</v>
      </c>
      <c r="BH234" s="21">
        <f>F234*AO234</f>
        <v>0</v>
      </c>
      <c r="BI234" s="21">
        <f>F234*AP234</f>
        <v>0</v>
      </c>
      <c r="BJ234" s="21">
        <f>F234*G234</f>
        <v>0</v>
      </c>
      <c r="BK234" s="21" t="s">
        <v>201</v>
      </c>
      <c r="BL234" s="21">
        <v>91</v>
      </c>
    </row>
    <row r="235" spans="1:14" ht="15">
      <c r="A235" s="2"/>
      <c r="C235" s="24" t="s">
        <v>733</v>
      </c>
      <c r="D235" s="24"/>
      <c r="F235" s="25">
        <v>74.5</v>
      </c>
      <c r="M235" s="26"/>
      <c r="N235" s="2"/>
    </row>
    <row r="236" spans="1:14" ht="15">
      <c r="A236" s="2"/>
      <c r="C236" s="24" t="s">
        <v>734</v>
      </c>
      <c r="D236" s="24"/>
      <c r="F236" s="25">
        <v>0.745</v>
      </c>
      <c r="M236" s="26"/>
      <c r="N236" s="2"/>
    </row>
    <row r="237" spans="1:14" ht="15">
      <c r="A237" s="2"/>
      <c r="B237" s="27"/>
      <c r="C237" s="634"/>
      <c r="D237" s="635"/>
      <c r="E237" s="635"/>
      <c r="F237" s="635"/>
      <c r="G237" s="635"/>
      <c r="H237" s="635"/>
      <c r="I237" s="635"/>
      <c r="J237" s="635"/>
      <c r="K237" s="635"/>
      <c r="L237" s="635"/>
      <c r="M237" s="636"/>
      <c r="N237" s="2"/>
    </row>
    <row r="238" spans="1:64" ht="15">
      <c r="A238" s="20" t="s">
        <v>552</v>
      </c>
      <c r="B238" s="3" t="s">
        <v>316</v>
      </c>
      <c r="C238" s="618" t="s">
        <v>317</v>
      </c>
      <c r="D238" s="608"/>
      <c r="E238" s="3" t="s">
        <v>260</v>
      </c>
      <c r="F238" s="21">
        <v>7.07</v>
      </c>
      <c r="G238" s="537"/>
      <c r="H238" s="21">
        <f>F238*AO238</f>
        <v>0</v>
      </c>
      <c r="I238" s="21">
        <f>F238*AP238</f>
        <v>0</v>
      </c>
      <c r="J238" s="21">
        <f>F238*G238</f>
        <v>0</v>
      </c>
      <c r="K238" s="21">
        <v>0.0483</v>
      </c>
      <c r="L238" s="21">
        <f>F238*K238</f>
        <v>0.34148100000000003</v>
      </c>
      <c r="M238" s="22" t="s">
        <v>55</v>
      </c>
      <c r="N238" s="2"/>
      <c r="Z238" s="21">
        <f>IF(AQ238="5",BJ238,0)</f>
        <v>0</v>
      </c>
      <c r="AB238" s="21">
        <f>IF(AQ238="1",BH238,0)</f>
        <v>0</v>
      </c>
      <c r="AC238" s="21">
        <f>IF(AQ238="1",BI238,0)</f>
        <v>0</v>
      </c>
      <c r="AD238" s="21">
        <f>IF(AQ238="7",BH238,0)</f>
        <v>0</v>
      </c>
      <c r="AE238" s="21">
        <f>IF(AQ238="7",BI238,0)</f>
        <v>0</v>
      </c>
      <c r="AF238" s="21">
        <f>IF(AQ238="2",BH238,0)</f>
        <v>0</v>
      </c>
      <c r="AG238" s="21">
        <f>IF(AQ238="2",BI238,0)</f>
        <v>0</v>
      </c>
      <c r="AH238" s="21">
        <f>IF(AQ238="0",BJ238,0)</f>
        <v>0</v>
      </c>
      <c r="AI238" s="10"/>
      <c r="AJ238" s="21">
        <f>IF(AN238=0,J238,0)</f>
        <v>0</v>
      </c>
      <c r="AK238" s="21">
        <f>IF(AN238=15,J238,0)</f>
        <v>0</v>
      </c>
      <c r="AL238" s="21">
        <f>IF(AN238=21,J238,0)</f>
        <v>0</v>
      </c>
      <c r="AN238" s="21">
        <v>21</v>
      </c>
      <c r="AO238" s="21">
        <f>G238*1</f>
        <v>0</v>
      </c>
      <c r="AP238" s="21">
        <f>G238*(1-1)</f>
        <v>0</v>
      </c>
      <c r="AQ238" s="23" t="s">
        <v>51</v>
      </c>
      <c r="AV238" s="21">
        <f>AW238+AX238</f>
        <v>0</v>
      </c>
      <c r="AW238" s="21">
        <f>F238*AO238</f>
        <v>0</v>
      </c>
      <c r="AX238" s="21">
        <f>F238*AP238</f>
        <v>0</v>
      </c>
      <c r="AY238" s="23" t="s">
        <v>299</v>
      </c>
      <c r="AZ238" s="23" t="s">
        <v>300</v>
      </c>
      <c r="BA238" s="10" t="s">
        <v>58</v>
      </c>
      <c r="BC238" s="21">
        <f>AW238+AX238</f>
        <v>0</v>
      </c>
      <c r="BD238" s="21">
        <f>G238/(100-BE238)*100</f>
        <v>0</v>
      </c>
      <c r="BE238" s="21">
        <v>0</v>
      </c>
      <c r="BF238" s="21">
        <f>L238</f>
        <v>0.34148100000000003</v>
      </c>
      <c r="BH238" s="21">
        <f>F238*AO238</f>
        <v>0</v>
      </c>
      <c r="BI238" s="21">
        <f>F238*AP238</f>
        <v>0</v>
      </c>
      <c r="BJ238" s="21">
        <f>F238*G238</f>
        <v>0</v>
      </c>
      <c r="BK238" s="21" t="s">
        <v>201</v>
      </c>
      <c r="BL238" s="21">
        <v>91</v>
      </c>
    </row>
    <row r="239" spans="1:14" ht="15">
      <c r="A239" s="2"/>
      <c r="C239" s="24" t="s">
        <v>89</v>
      </c>
      <c r="D239" s="24"/>
      <c r="F239" s="25">
        <v>7</v>
      </c>
      <c r="M239" s="26"/>
      <c r="N239" s="2"/>
    </row>
    <row r="240" spans="1:14" ht="15">
      <c r="A240" s="2"/>
      <c r="C240" s="24" t="s">
        <v>735</v>
      </c>
      <c r="D240" s="24"/>
      <c r="F240" s="25">
        <v>0.07</v>
      </c>
      <c r="M240" s="26"/>
      <c r="N240" s="2"/>
    </row>
    <row r="241" spans="1:64" ht="15">
      <c r="A241" s="20" t="s">
        <v>556</v>
      </c>
      <c r="B241" s="3" t="s">
        <v>320</v>
      </c>
      <c r="C241" s="618" t="s">
        <v>321</v>
      </c>
      <c r="D241" s="608"/>
      <c r="E241" s="3" t="s">
        <v>260</v>
      </c>
      <c r="F241" s="21">
        <v>2</v>
      </c>
      <c r="G241" s="537"/>
      <c r="H241" s="21">
        <f>F241*AO241</f>
        <v>0</v>
      </c>
      <c r="I241" s="21">
        <f>F241*AP241</f>
        <v>0</v>
      </c>
      <c r="J241" s="21">
        <f>F241*G241</f>
        <v>0</v>
      </c>
      <c r="K241" s="21">
        <v>0.069</v>
      </c>
      <c r="L241" s="21">
        <f>F241*K241</f>
        <v>0.138</v>
      </c>
      <c r="M241" s="22" t="s">
        <v>55</v>
      </c>
      <c r="N241" s="2"/>
      <c r="Z241" s="21">
        <f>IF(AQ241="5",BJ241,0)</f>
        <v>0</v>
      </c>
      <c r="AB241" s="21">
        <f>IF(AQ241="1",BH241,0)</f>
        <v>0</v>
      </c>
      <c r="AC241" s="21">
        <f>IF(AQ241="1",BI241,0)</f>
        <v>0</v>
      </c>
      <c r="AD241" s="21">
        <f>IF(AQ241="7",BH241,0)</f>
        <v>0</v>
      </c>
      <c r="AE241" s="21">
        <f>IF(AQ241="7",BI241,0)</f>
        <v>0</v>
      </c>
      <c r="AF241" s="21">
        <f>IF(AQ241="2",BH241,0)</f>
        <v>0</v>
      </c>
      <c r="AG241" s="21">
        <f>IF(AQ241="2",BI241,0)</f>
        <v>0</v>
      </c>
      <c r="AH241" s="21">
        <f>IF(AQ241="0",BJ241,0)</f>
        <v>0</v>
      </c>
      <c r="AI241" s="10"/>
      <c r="AJ241" s="21">
        <f>IF(AN241=0,J241,0)</f>
        <v>0</v>
      </c>
      <c r="AK241" s="21">
        <f>IF(AN241=15,J241,0)</f>
        <v>0</v>
      </c>
      <c r="AL241" s="21">
        <f>IF(AN241=21,J241,0)</f>
        <v>0</v>
      </c>
      <c r="AN241" s="21">
        <v>21</v>
      </c>
      <c r="AO241" s="21">
        <f>G241*1</f>
        <v>0</v>
      </c>
      <c r="AP241" s="21">
        <f>G241*(1-1)</f>
        <v>0</v>
      </c>
      <c r="AQ241" s="23" t="s">
        <v>51</v>
      </c>
      <c r="AV241" s="21">
        <f>AW241+AX241</f>
        <v>0</v>
      </c>
      <c r="AW241" s="21">
        <f>F241*AO241</f>
        <v>0</v>
      </c>
      <c r="AX241" s="21">
        <f>F241*AP241</f>
        <v>0</v>
      </c>
      <c r="AY241" s="23" t="s">
        <v>299</v>
      </c>
      <c r="AZ241" s="23" t="s">
        <v>300</v>
      </c>
      <c r="BA241" s="10" t="s">
        <v>58</v>
      </c>
      <c r="BC241" s="21">
        <f>AW241+AX241</f>
        <v>0</v>
      </c>
      <c r="BD241" s="21">
        <f>G241/(100-BE241)*100</f>
        <v>0</v>
      </c>
      <c r="BE241" s="21">
        <v>0</v>
      </c>
      <c r="BF241" s="21">
        <f>L241</f>
        <v>0.138</v>
      </c>
      <c r="BH241" s="21">
        <f>F241*AO241</f>
        <v>0</v>
      </c>
      <c r="BI241" s="21">
        <f>F241*AP241</f>
        <v>0</v>
      </c>
      <c r="BJ241" s="21">
        <f>F241*G241</f>
        <v>0</v>
      </c>
      <c r="BK241" s="21" t="s">
        <v>201</v>
      </c>
      <c r="BL241" s="21">
        <v>91</v>
      </c>
    </row>
    <row r="242" spans="1:14" ht="15">
      <c r="A242" s="2"/>
      <c r="C242" s="24" t="s">
        <v>63</v>
      </c>
      <c r="D242" s="24"/>
      <c r="F242" s="25">
        <v>2</v>
      </c>
      <c r="M242" s="26"/>
      <c r="N242" s="2"/>
    </row>
    <row r="243" spans="1:14" ht="15">
      <c r="A243" s="2"/>
      <c r="B243" s="27"/>
      <c r="C243" s="634"/>
      <c r="D243" s="635"/>
      <c r="E243" s="635"/>
      <c r="F243" s="635"/>
      <c r="G243" s="635"/>
      <c r="H243" s="635"/>
      <c r="I243" s="635"/>
      <c r="J243" s="635"/>
      <c r="K243" s="635"/>
      <c r="L243" s="635"/>
      <c r="M243" s="636"/>
      <c r="N243" s="2"/>
    </row>
    <row r="244" spans="1:64" ht="15">
      <c r="A244" s="20" t="s">
        <v>559</v>
      </c>
      <c r="B244" s="3" t="s">
        <v>323</v>
      </c>
      <c r="C244" s="618" t="s">
        <v>324</v>
      </c>
      <c r="D244" s="608"/>
      <c r="E244" s="3" t="s">
        <v>260</v>
      </c>
      <c r="F244" s="21">
        <v>2</v>
      </c>
      <c r="G244" s="537"/>
      <c r="H244" s="21">
        <f>F244*AO244</f>
        <v>0</v>
      </c>
      <c r="I244" s="21">
        <f>F244*AP244</f>
        <v>0</v>
      </c>
      <c r="J244" s="21">
        <f>F244*G244</f>
        <v>0</v>
      </c>
      <c r="K244" s="21">
        <v>0.069</v>
      </c>
      <c r="L244" s="21">
        <f>F244*K244</f>
        <v>0.138</v>
      </c>
      <c r="M244" s="22" t="s">
        <v>55</v>
      </c>
      <c r="N244" s="2"/>
      <c r="Z244" s="21">
        <f>IF(AQ244="5",BJ244,0)</f>
        <v>0</v>
      </c>
      <c r="AB244" s="21">
        <f>IF(AQ244="1",BH244,0)</f>
        <v>0</v>
      </c>
      <c r="AC244" s="21">
        <f>IF(AQ244="1",BI244,0)</f>
        <v>0</v>
      </c>
      <c r="AD244" s="21">
        <f>IF(AQ244="7",BH244,0)</f>
        <v>0</v>
      </c>
      <c r="AE244" s="21">
        <f>IF(AQ244="7",BI244,0)</f>
        <v>0</v>
      </c>
      <c r="AF244" s="21">
        <f>IF(AQ244="2",BH244,0)</f>
        <v>0</v>
      </c>
      <c r="AG244" s="21">
        <f>IF(AQ244="2",BI244,0)</f>
        <v>0</v>
      </c>
      <c r="AH244" s="21">
        <f>IF(AQ244="0",BJ244,0)</f>
        <v>0</v>
      </c>
      <c r="AI244" s="10"/>
      <c r="AJ244" s="21">
        <f>IF(AN244=0,J244,0)</f>
        <v>0</v>
      </c>
      <c r="AK244" s="21">
        <f>IF(AN244=15,J244,0)</f>
        <v>0</v>
      </c>
      <c r="AL244" s="21">
        <f>IF(AN244=21,J244,0)</f>
        <v>0</v>
      </c>
      <c r="AN244" s="21">
        <v>21</v>
      </c>
      <c r="AO244" s="21">
        <f>G244*1</f>
        <v>0</v>
      </c>
      <c r="AP244" s="21">
        <f>G244*(1-1)</f>
        <v>0</v>
      </c>
      <c r="AQ244" s="23" t="s">
        <v>51</v>
      </c>
      <c r="AV244" s="21">
        <f>AW244+AX244</f>
        <v>0</v>
      </c>
      <c r="AW244" s="21">
        <f>F244*AO244</f>
        <v>0</v>
      </c>
      <c r="AX244" s="21">
        <f>F244*AP244</f>
        <v>0</v>
      </c>
      <c r="AY244" s="23" t="s">
        <v>299</v>
      </c>
      <c r="AZ244" s="23" t="s">
        <v>300</v>
      </c>
      <c r="BA244" s="10" t="s">
        <v>58</v>
      </c>
      <c r="BC244" s="21">
        <f>AW244+AX244</f>
        <v>0</v>
      </c>
      <c r="BD244" s="21">
        <f>G244/(100-BE244)*100</f>
        <v>0</v>
      </c>
      <c r="BE244" s="21">
        <v>0</v>
      </c>
      <c r="BF244" s="21">
        <f>L244</f>
        <v>0.138</v>
      </c>
      <c r="BH244" s="21">
        <f>F244*AO244</f>
        <v>0</v>
      </c>
      <c r="BI244" s="21">
        <f>F244*AP244</f>
        <v>0</v>
      </c>
      <c r="BJ244" s="21">
        <f>F244*G244</f>
        <v>0</v>
      </c>
      <c r="BK244" s="21" t="s">
        <v>201</v>
      </c>
      <c r="BL244" s="21">
        <v>91</v>
      </c>
    </row>
    <row r="245" spans="1:14" ht="15">
      <c r="A245" s="2"/>
      <c r="C245" s="24" t="s">
        <v>63</v>
      </c>
      <c r="D245" s="24"/>
      <c r="F245" s="25">
        <v>2</v>
      </c>
      <c r="M245" s="26"/>
      <c r="N245" s="2"/>
    </row>
    <row r="246" spans="1:14" ht="15">
      <c r="A246" s="2"/>
      <c r="B246" s="27"/>
      <c r="C246" s="634"/>
      <c r="D246" s="635"/>
      <c r="E246" s="635"/>
      <c r="F246" s="635"/>
      <c r="G246" s="635"/>
      <c r="H246" s="635"/>
      <c r="I246" s="635"/>
      <c r="J246" s="635"/>
      <c r="K246" s="635"/>
      <c r="L246" s="635"/>
      <c r="M246" s="636"/>
      <c r="N246" s="2"/>
    </row>
    <row r="247" spans="1:64" ht="15">
      <c r="A247" s="20" t="s">
        <v>560</v>
      </c>
      <c r="B247" s="3" t="s">
        <v>736</v>
      </c>
      <c r="C247" s="618" t="s">
        <v>737</v>
      </c>
      <c r="D247" s="608"/>
      <c r="E247" s="3" t="s">
        <v>260</v>
      </c>
      <c r="F247" s="21">
        <v>56.055</v>
      </c>
      <c r="G247" s="537"/>
      <c r="H247" s="21">
        <f>F247*AO247</f>
        <v>0</v>
      </c>
      <c r="I247" s="21">
        <f>F247*AP247</f>
        <v>0</v>
      </c>
      <c r="J247" s="21">
        <f>F247*G247</f>
        <v>0</v>
      </c>
      <c r="K247" s="21">
        <v>0.096</v>
      </c>
      <c r="L247" s="21">
        <f>F247*K247</f>
        <v>5.38128</v>
      </c>
      <c r="M247" s="22" t="s">
        <v>55</v>
      </c>
      <c r="N247" s="2"/>
      <c r="Z247" s="21">
        <f>IF(AQ247="5",BJ247,0)</f>
        <v>0</v>
      </c>
      <c r="AB247" s="21">
        <f>IF(AQ247="1",BH247,0)</f>
        <v>0</v>
      </c>
      <c r="AC247" s="21">
        <f>IF(AQ247="1",BI247,0)</f>
        <v>0</v>
      </c>
      <c r="AD247" s="21">
        <f>IF(AQ247="7",BH247,0)</f>
        <v>0</v>
      </c>
      <c r="AE247" s="21">
        <f>IF(AQ247="7",BI247,0)</f>
        <v>0</v>
      </c>
      <c r="AF247" s="21">
        <f>IF(AQ247="2",BH247,0)</f>
        <v>0</v>
      </c>
      <c r="AG247" s="21">
        <f>IF(AQ247="2",BI247,0)</f>
        <v>0</v>
      </c>
      <c r="AH247" s="21">
        <f>IF(AQ247="0",BJ247,0)</f>
        <v>0</v>
      </c>
      <c r="AI247" s="10"/>
      <c r="AJ247" s="21">
        <f>IF(AN247=0,J247,0)</f>
        <v>0</v>
      </c>
      <c r="AK247" s="21">
        <f>IF(AN247=15,J247,0)</f>
        <v>0</v>
      </c>
      <c r="AL247" s="21">
        <f>IF(AN247=21,J247,0)</f>
        <v>0</v>
      </c>
      <c r="AN247" s="21">
        <v>21</v>
      </c>
      <c r="AO247" s="21">
        <f>G247*1</f>
        <v>0</v>
      </c>
      <c r="AP247" s="21">
        <f>G247*(1-1)</f>
        <v>0</v>
      </c>
      <c r="AQ247" s="23" t="s">
        <v>51</v>
      </c>
      <c r="AV247" s="21">
        <f>AW247+AX247</f>
        <v>0</v>
      </c>
      <c r="AW247" s="21">
        <f>F247*AO247</f>
        <v>0</v>
      </c>
      <c r="AX247" s="21">
        <f>F247*AP247</f>
        <v>0</v>
      </c>
      <c r="AY247" s="23" t="s">
        <v>299</v>
      </c>
      <c r="AZ247" s="23" t="s">
        <v>300</v>
      </c>
      <c r="BA247" s="10" t="s">
        <v>58</v>
      </c>
      <c r="BC247" s="21">
        <f>AW247+AX247</f>
        <v>0</v>
      </c>
      <c r="BD247" s="21">
        <f>G247/(100-BE247)*100</f>
        <v>0</v>
      </c>
      <c r="BE247" s="21">
        <v>0</v>
      </c>
      <c r="BF247" s="21">
        <f>L247</f>
        <v>5.38128</v>
      </c>
      <c r="BH247" s="21">
        <f>F247*AO247</f>
        <v>0</v>
      </c>
      <c r="BI247" s="21">
        <f>F247*AP247</f>
        <v>0</v>
      </c>
      <c r="BJ247" s="21">
        <f>F247*G247</f>
        <v>0</v>
      </c>
      <c r="BK247" s="21" t="s">
        <v>201</v>
      </c>
      <c r="BL247" s="21">
        <v>91</v>
      </c>
    </row>
    <row r="248" spans="1:14" ht="15">
      <c r="A248" s="2"/>
      <c r="C248" s="24" t="s">
        <v>738</v>
      </c>
      <c r="D248" s="24"/>
      <c r="F248" s="25">
        <v>55.5</v>
      </c>
      <c r="M248" s="26"/>
      <c r="N248" s="2"/>
    </row>
    <row r="249" spans="1:14" ht="15">
      <c r="A249" s="2"/>
      <c r="C249" s="24" t="s">
        <v>739</v>
      </c>
      <c r="D249" s="24"/>
      <c r="F249" s="25">
        <v>0.555</v>
      </c>
      <c r="M249" s="26"/>
      <c r="N249" s="2"/>
    </row>
    <row r="250" spans="1:14" ht="15">
      <c r="A250" s="2"/>
      <c r="B250" s="27"/>
      <c r="C250" s="634"/>
      <c r="D250" s="635"/>
      <c r="E250" s="635"/>
      <c r="F250" s="635"/>
      <c r="G250" s="635"/>
      <c r="H250" s="635"/>
      <c r="I250" s="635"/>
      <c r="J250" s="635"/>
      <c r="K250" s="635"/>
      <c r="L250" s="635"/>
      <c r="M250" s="636"/>
      <c r="N250" s="2"/>
    </row>
    <row r="251" spans="1:64" ht="15">
      <c r="A251" s="20" t="s">
        <v>561</v>
      </c>
      <c r="B251" s="3" t="s">
        <v>329</v>
      </c>
      <c r="C251" s="618" t="s">
        <v>330</v>
      </c>
      <c r="D251" s="608"/>
      <c r="E251" s="3" t="s">
        <v>54</v>
      </c>
      <c r="F251" s="21">
        <v>38</v>
      </c>
      <c r="G251" s="537"/>
      <c r="H251" s="21">
        <f>F251*AO251</f>
        <v>0</v>
      </c>
      <c r="I251" s="21">
        <f>F251*AP251</f>
        <v>0</v>
      </c>
      <c r="J251" s="21">
        <f>F251*G251</f>
        <v>0</v>
      </c>
      <c r="K251" s="21">
        <v>0.00107</v>
      </c>
      <c r="L251" s="21">
        <f>F251*K251</f>
        <v>0.04066</v>
      </c>
      <c r="M251" s="539" t="s">
        <v>2130</v>
      </c>
      <c r="N251" s="2"/>
      <c r="Z251" s="21">
        <f>IF(AQ251="5",BJ251,0)</f>
        <v>0</v>
      </c>
      <c r="AB251" s="21">
        <f>IF(AQ251="1",BH251,0)</f>
        <v>0</v>
      </c>
      <c r="AC251" s="21">
        <f>IF(AQ251="1",BI251,0)</f>
        <v>0</v>
      </c>
      <c r="AD251" s="21">
        <f>IF(AQ251="7",BH251,0)</f>
        <v>0</v>
      </c>
      <c r="AE251" s="21">
        <f>IF(AQ251="7",BI251,0)</f>
        <v>0</v>
      </c>
      <c r="AF251" s="21">
        <f>IF(AQ251="2",BH251,0)</f>
        <v>0</v>
      </c>
      <c r="AG251" s="21">
        <f>IF(AQ251="2",BI251,0)</f>
        <v>0</v>
      </c>
      <c r="AH251" s="21">
        <f>IF(AQ251="0",BJ251,0)</f>
        <v>0</v>
      </c>
      <c r="AI251" s="10"/>
      <c r="AJ251" s="21">
        <f>IF(AN251=0,J251,0)</f>
        <v>0</v>
      </c>
      <c r="AK251" s="21">
        <f>IF(AN251=15,J251,0)</f>
        <v>0</v>
      </c>
      <c r="AL251" s="21">
        <f>IF(AN251=21,J251,0)</f>
        <v>0</v>
      </c>
      <c r="AN251" s="21">
        <v>21</v>
      </c>
      <c r="AO251" s="21">
        <f>G251*0.91384</f>
        <v>0</v>
      </c>
      <c r="AP251" s="21">
        <f>G251*(1-0.91384)</f>
        <v>0</v>
      </c>
      <c r="AQ251" s="23" t="s">
        <v>51</v>
      </c>
      <c r="AV251" s="21">
        <f>AW251+AX251</f>
        <v>0</v>
      </c>
      <c r="AW251" s="21">
        <f>F251*AO251</f>
        <v>0</v>
      </c>
      <c r="AX251" s="21">
        <f>F251*AP251</f>
        <v>0</v>
      </c>
      <c r="AY251" s="23" t="s">
        <v>299</v>
      </c>
      <c r="AZ251" s="23" t="s">
        <v>300</v>
      </c>
      <c r="BA251" s="10" t="s">
        <v>58</v>
      </c>
      <c r="BC251" s="21">
        <f>AW251+AX251</f>
        <v>0</v>
      </c>
      <c r="BD251" s="21">
        <f>G251/(100-BE251)*100</f>
        <v>0</v>
      </c>
      <c r="BE251" s="21">
        <v>0</v>
      </c>
      <c r="BF251" s="21">
        <f>L251</f>
        <v>0.04066</v>
      </c>
      <c r="BH251" s="21">
        <f>F251*AO251</f>
        <v>0</v>
      </c>
      <c r="BI251" s="21">
        <f>F251*AP251</f>
        <v>0</v>
      </c>
      <c r="BJ251" s="21">
        <f>F251*G251</f>
        <v>0</v>
      </c>
      <c r="BK251" s="21" t="s">
        <v>59</v>
      </c>
      <c r="BL251" s="21">
        <v>91</v>
      </c>
    </row>
    <row r="252" spans="1:14" ht="15">
      <c r="A252" s="2"/>
      <c r="B252" s="27" t="s">
        <v>138</v>
      </c>
      <c r="C252" s="639" t="s">
        <v>331</v>
      </c>
      <c r="D252" s="640"/>
      <c r="E252" s="640"/>
      <c r="F252" s="640"/>
      <c r="G252" s="640"/>
      <c r="H252" s="640"/>
      <c r="I252" s="640"/>
      <c r="J252" s="640"/>
      <c r="K252" s="640"/>
      <c r="L252" s="640"/>
      <c r="M252" s="641"/>
      <c r="N252" s="2"/>
    </row>
    <row r="253" spans="1:14" ht="15">
      <c r="A253" s="2"/>
      <c r="C253" s="24" t="s">
        <v>530</v>
      </c>
      <c r="D253" s="24" t="s">
        <v>333</v>
      </c>
      <c r="F253" s="25">
        <v>38</v>
      </c>
      <c r="M253" s="26"/>
      <c r="N253" s="2"/>
    </row>
    <row r="254" spans="1:14" ht="15">
      <c r="A254" s="2"/>
      <c r="B254" s="27" t="s">
        <v>61</v>
      </c>
      <c r="C254" s="634" t="s">
        <v>334</v>
      </c>
      <c r="D254" s="635"/>
      <c r="E254" s="635"/>
      <c r="F254" s="635"/>
      <c r="G254" s="635"/>
      <c r="H254" s="635"/>
      <c r="I254" s="635"/>
      <c r="J254" s="635"/>
      <c r="K254" s="635"/>
      <c r="L254" s="635"/>
      <c r="M254" s="636"/>
      <c r="N254" s="2"/>
    </row>
    <row r="255" spans="1:64" ht="15">
      <c r="A255" s="20" t="s">
        <v>562</v>
      </c>
      <c r="B255" s="3" t="s">
        <v>740</v>
      </c>
      <c r="C255" s="618" t="s">
        <v>741</v>
      </c>
      <c r="D255" s="608"/>
      <c r="E255" s="3" t="s">
        <v>260</v>
      </c>
      <c r="F255" s="21">
        <v>1</v>
      </c>
      <c r="G255" s="537"/>
      <c r="H255" s="21">
        <f>F255*AO255</f>
        <v>0</v>
      </c>
      <c r="I255" s="21">
        <f>F255*AP255</f>
        <v>0</v>
      </c>
      <c r="J255" s="21">
        <f>F255*G255</f>
        <v>0</v>
      </c>
      <c r="K255" s="21">
        <v>0.207</v>
      </c>
      <c r="L255" s="21">
        <f>F255*K255</f>
        <v>0.207</v>
      </c>
      <c r="M255" s="22" t="s">
        <v>742</v>
      </c>
      <c r="N255" s="2"/>
      <c r="Z255" s="21">
        <f>IF(AQ255="5",BJ255,0)</f>
        <v>0</v>
      </c>
      <c r="AB255" s="21">
        <f>IF(AQ255="1",BH255,0)</f>
        <v>0</v>
      </c>
      <c r="AC255" s="21">
        <f>IF(AQ255="1",BI255,0)</f>
        <v>0</v>
      </c>
      <c r="AD255" s="21">
        <f>IF(AQ255="7",BH255,0)</f>
        <v>0</v>
      </c>
      <c r="AE255" s="21">
        <f>IF(AQ255="7",BI255,0)</f>
        <v>0</v>
      </c>
      <c r="AF255" s="21">
        <f>IF(AQ255="2",BH255,0)</f>
        <v>0</v>
      </c>
      <c r="AG255" s="21">
        <f>IF(AQ255="2",BI255,0)</f>
        <v>0</v>
      </c>
      <c r="AH255" s="21">
        <f>IF(AQ255="0",BJ255,0)</f>
        <v>0</v>
      </c>
      <c r="AI255" s="10"/>
      <c r="AJ255" s="21">
        <f>IF(AN255=0,J255,0)</f>
        <v>0</v>
      </c>
      <c r="AK255" s="21">
        <f>IF(AN255=15,J255,0)</f>
        <v>0</v>
      </c>
      <c r="AL255" s="21">
        <f>IF(AN255=21,J255,0)</f>
        <v>0</v>
      </c>
      <c r="AN255" s="21">
        <v>21</v>
      </c>
      <c r="AO255" s="21">
        <f>G255*1</f>
        <v>0</v>
      </c>
      <c r="AP255" s="21">
        <f>G255*(1-1)</f>
        <v>0</v>
      </c>
      <c r="AQ255" s="23" t="s">
        <v>51</v>
      </c>
      <c r="AV255" s="21">
        <f>AW255+AX255</f>
        <v>0</v>
      </c>
      <c r="AW255" s="21">
        <f>F255*AO255</f>
        <v>0</v>
      </c>
      <c r="AX255" s="21">
        <f>F255*AP255</f>
        <v>0</v>
      </c>
      <c r="AY255" s="23" t="s">
        <v>299</v>
      </c>
      <c r="AZ255" s="23" t="s">
        <v>300</v>
      </c>
      <c r="BA255" s="10" t="s">
        <v>58</v>
      </c>
      <c r="BC255" s="21">
        <f>AW255+AX255</f>
        <v>0</v>
      </c>
      <c r="BD255" s="21">
        <f>G255/(100-BE255)*100</f>
        <v>0</v>
      </c>
      <c r="BE255" s="21">
        <v>0</v>
      </c>
      <c r="BF255" s="21">
        <f>L255</f>
        <v>0.207</v>
      </c>
      <c r="BH255" s="21">
        <f>F255*AO255</f>
        <v>0</v>
      </c>
      <c r="BI255" s="21">
        <f>F255*AP255</f>
        <v>0</v>
      </c>
      <c r="BJ255" s="21">
        <f>F255*G255</f>
        <v>0</v>
      </c>
      <c r="BK255" s="21" t="s">
        <v>201</v>
      </c>
      <c r="BL255" s="21">
        <v>91</v>
      </c>
    </row>
    <row r="256" spans="1:14" ht="15">
      <c r="A256" s="2"/>
      <c r="C256" s="24" t="s">
        <v>51</v>
      </c>
      <c r="D256" s="24"/>
      <c r="F256" s="25">
        <v>1</v>
      </c>
      <c r="M256" s="26"/>
      <c r="N256" s="2"/>
    </row>
    <row r="257" spans="1:14" ht="25.65" customHeight="1">
      <c r="A257" s="2"/>
      <c r="B257" s="27" t="s">
        <v>61</v>
      </c>
      <c r="C257" s="634" t="s">
        <v>743</v>
      </c>
      <c r="D257" s="635"/>
      <c r="E257" s="635"/>
      <c r="F257" s="635"/>
      <c r="G257" s="635"/>
      <c r="H257" s="635"/>
      <c r="I257" s="635"/>
      <c r="J257" s="635"/>
      <c r="K257" s="635"/>
      <c r="L257" s="635"/>
      <c r="M257" s="636"/>
      <c r="N257" s="2"/>
    </row>
    <row r="258" spans="1:64" ht="15">
      <c r="A258" s="20" t="s">
        <v>279</v>
      </c>
      <c r="B258" s="3" t="s">
        <v>744</v>
      </c>
      <c r="C258" s="618" t="s">
        <v>745</v>
      </c>
      <c r="D258" s="608"/>
      <c r="E258" s="3" t="s">
        <v>260</v>
      </c>
      <c r="F258" s="21">
        <v>1</v>
      </c>
      <c r="G258" s="537"/>
      <c r="H258" s="21">
        <f>F258*AO258</f>
        <v>0</v>
      </c>
      <c r="I258" s="21">
        <f>F258*AP258</f>
        <v>0</v>
      </c>
      <c r="J258" s="21">
        <f>F258*G258</f>
        <v>0</v>
      </c>
      <c r="K258" s="21">
        <v>0.207</v>
      </c>
      <c r="L258" s="21">
        <f>F258*K258</f>
        <v>0.207</v>
      </c>
      <c r="M258" s="22" t="s">
        <v>742</v>
      </c>
      <c r="N258" s="2"/>
      <c r="Z258" s="21">
        <f>IF(AQ258="5",BJ258,0)</f>
        <v>0</v>
      </c>
      <c r="AB258" s="21">
        <f>IF(AQ258="1",BH258,0)</f>
        <v>0</v>
      </c>
      <c r="AC258" s="21">
        <f>IF(AQ258="1",BI258,0)</f>
        <v>0</v>
      </c>
      <c r="AD258" s="21">
        <f>IF(AQ258="7",BH258,0)</f>
        <v>0</v>
      </c>
      <c r="AE258" s="21">
        <f>IF(AQ258="7",BI258,0)</f>
        <v>0</v>
      </c>
      <c r="AF258" s="21">
        <f>IF(AQ258="2",BH258,0)</f>
        <v>0</v>
      </c>
      <c r="AG258" s="21">
        <f>IF(AQ258="2",BI258,0)</f>
        <v>0</v>
      </c>
      <c r="AH258" s="21">
        <f>IF(AQ258="0",BJ258,0)</f>
        <v>0</v>
      </c>
      <c r="AI258" s="10"/>
      <c r="AJ258" s="21">
        <f>IF(AN258=0,J258,0)</f>
        <v>0</v>
      </c>
      <c r="AK258" s="21">
        <f>IF(AN258=15,J258,0)</f>
        <v>0</v>
      </c>
      <c r="AL258" s="21">
        <f>IF(AN258=21,J258,0)</f>
        <v>0</v>
      </c>
      <c r="AN258" s="21">
        <v>21</v>
      </c>
      <c r="AO258" s="21">
        <f>G258*1</f>
        <v>0</v>
      </c>
      <c r="AP258" s="21">
        <f>G258*(1-1)</f>
        <v>0</v>
      </c>
      <c r="AQ258" s="23" t="s">
        <v>51</v>
      </c>
      <c r="AV258" s="21">
        <f>AW258+AX258</f>
        <v>0</v>
      </c>
      <c r="AW258" s="21">
        <f>F258*AO258</f>
        <v>0</v>
      </c>
      <c r="AX258" s="21">
        <f>F258*AP258</f>
        <v>0</v>
      </c>
      <c r="AY258" s="23" t="s">
        <v>299</v>
      </c>
      <c r="AZ258" s="23" t="s">
        <v>300</v>
      </c>
      <c r="BA258" s="10" t="s">
        <v>58</v>
      </c>
      <c r="BC258" s="21">
        <f>AW258+AX258</f>
        <v>0</v>
      </c>
      <c r="BD258" s="21">
        <f>G258/(100-BE258)*100</f>
        <v>0</v>
      </c>
      <c r="BE258" s="21">
        <v>0</v>
      </c>
      <c r="BF258" s="21">
        <f>L258</f>
        <v>0.207</v>
      </c>
      <c r="BH258" s="21">
        <f>F258*AO258</f>
        <v>0</v>
      </c>
      <c r="BI258" s="21">
        <f>F258*AP258</f>
        <v>0</v>
      </c>
      <c r="BJ258" s="21">
        <f>F258*G258</f>
        <v>0</v>
      </c>
      <c r="BK258" s="21" t="s">
        <v>201</v>
      </c>
      <c r="BL258" s="21">
        <v>91</v>
      </c>
    </row>
    <row r="259" spans="1:14" ht="15">
      <c r="A259" s="2"/>
      <c r="C259" s="24" t="s">
        <v>51</v>
      </c>
      <c r="D259" s="24"/>
      <c r="F259" s="25">
        <v>1</v>
      </c>
      <c r="M259" s="26"/>
      <c r="N259" s="2"/>
    </row>
    <row r="260" spans="1:14" ht="25.65" customHeight="1">
      <c r="A260" s="2"/>
      <c r="B260" s="27" t="s">
        <v>61</v>
      </c>
      <c r="C260" s="634" t="s">
        <v>743</v>
      </c>
      <c r="D260" s="635"/>
      <c r="E260" s="635"/>
      <c r="F260" s="635"/>
      <c r="G260" s="635"/>
      <c r="H260" s="635"/>
      <c r="I260" s="635"/>
      <c r="J260" s="635"/>
      <c r="K260" s="635"/>
      <c r="L260" s="635"/>
      <c r="M260" s="636"/>
      <c r="N260" s="2"/>
    </row>
    <row r="261" spans="1:64" ht="15">
      <c r="A261" s="20" t="s">
        <v>563</v>
      </c>
      <c r="B261" s="3" t="s">
        <v>746</v>
      </c>
      <c r="C261" s="618" t="s">
        <v>747</v>
      </c>
      <c r="D261" s="608"/>
      <c r="E261" s="3" t="s">
        <v>260</v>
      </c>
      <c r="F261" s="21">
        <v>20.2</v>
      </c>
      <c r="G261" s="537"/>
      <c r="H261" s="21">
        <f>F261*AO261</f>
        <v>0</v>
      </c>
      <c r="I261" s="21">
        <f>F261*AP261</f>
        <v>0</v>
      </c>
      <c r="J261" s="21">
        <f>F261*G261</f>
        <v>0</v>
      </c>
      <c r="K261" s="21">
        <v>0.225</v>
      </c>
      <c r="L261" s="21">
        <f>F261*K261</f>
        <v>4.545</v>
      </c>
      <c r="M261" s="22" t="s">
        <v>742</v>
      </c>
      <c r="N261" s="2"/>
      <c r="Z261" s="21">
        <f>IF(AQ261="5",BJ261,0)</f>
        <v>0</v>
      </c>
      <c r="AB261" s="21">
        <f>IF(AQ261="1",BH261,0)</f>
        <v>0</v>
      </c>
      <c r="AC261" s="21">
        <f>IF(AQ261="1",BI261,0)</f>
        <v>0</v>
      </c>
      <c r="AD261" s="21">
        <f>IF(AQ261="7",BH261,0)</f>
        <v>0</v>
      </c>
      <c r="AE261" s="21">
        <f>IF(AQ261="7",BI261,0)</f>
        <v>0</v>
      </c>
      <c r="AF261" s="21">
        <f>IF(AQ261="2",BH261,0)</f>
        <v>0</v>
      </c>
      <c r="AG261" s="21">
        <f>IF(AQ261="2",BI261,0)</f>
        <v>0</v>
      </c>
      <c r="AH261" s="21">
        <f>IF(AQ261="0",BJ261,0)</f>
        <v>0</v>
      </c>
      <c r="AI261" s="10"/>
      <c r="AJ261" s="21">
        <f>IF(AN261=0,J261,0)</f>
        <v>0</v>
      </c>
      <c r="AK261" s="21">
        <f>IF(AN261=15,J261,0)</f>
        <v>0</v>
      </c>
      <c r="AL261" s="21">
        <f>IF(AN261=21,J261,0)</f>
        <v>0</v>
      </c>
      <c r="AN261" s="21">
        <v>21</v>
      </c>
      <c r="AO261" s="21">
        <f>G261*1</f>
        <v>0</v>
      </c>
      <c r="AP261" s="21">
        <f>G261*(1-1)</f>
        <v>0</v>
      </c>
      <c r="AQ261" s="23" t="s">
        <v>51</v>
      </c>
      <c r="AV261" s="21">
        <f>AW261+AX261</f>
        <v>0</v>
      </c>
      <c r="AW261" s="21">
        <f>F261*AO261</f>
        <v>0</v>
      </c>
      <c r="AX261" s="21">
        <f>F261*AP261</f>
        <v>0</v>
      </c>
      <c r="AY261" s="23" t="s">
        <v>299</v>
      </c>
      <c r="AZ261" s="23" t="s">
        <v>300</v>
      </c>
      <c r="BA261" s="10" t="s">
        <v>58</v>
      </c>
      <c r="BC261" s="21">
        <f>AW261+AX261</f>
        <v>0</v>
      </c>
      <c r="BD261" s="21">
        <f>G261/(100-BE261)*100</f>
        <v>0</v>
      </c>
      <c r="BE261" s="21">
        <v>0</v>
      </c>
      <c r="BF261" s="21">
        <f>L261</f>
        <v>4.545</v>
      </c>
      <c r="BH261" s="21">
        <f>F261*AO261</f>
        <v>0</v>
      </c>
      <c r="BI261" s="21">
        <f>F261*AP261</f>
        <v>0</v>
      </c>
      <c r="BJ261" s="21">
        <f>F261*G261</f>
        <v>0</v>
      </c>
      <c r="BK261" s="21" t="s">
        <v>201</v>
      </c>
      <c r="BL261" s="21">
        <v>91</v>
      </c>
    </row>
    <row r="262" spans="1:14" ht="15">
      <c r="A262" s="2"/>
      <c r="C262" s="24" t="s">
        <v>157</v>
      </c>
      <c r="D262" s="24"/>
      <c r="F262" s="25">
        <v>20</v>
      </c>
      <c r="M262" s="26"/>
      <c r="N262" s="2"/>
    </row>
    <row r="263" spans="1:14" ht="15">
      <c r="A263" s="2"/>
      <c r="C263" s="24" t="s">
        <v>748</v>
      </c>
      <c r="D263" s="24"/>
      <c r="F263" s="25">
        <v>0.2</v>
      </c>
      <c r="M263" s="26"/>
      <c r="N263" s="2"/>
    </row>
    <row r="264" spans="1:14" ht="25.65" customHeight="1">
      <c r="A264" s="2"/>
      <c r="B264" s="27" t="s">
        <v>61</v>
      </c>
      <c r="C264" s="634" t="s">
        <v>743</v>
      </c>
      <c r="D264" s="635"/>
      <c r="E264" s="635"/>
      <c r="F264" s="635"/>
      <c r="G264" s="635"/>
      <c r="H264" s="635"/>
      <c r="I264" s="635"/>
      <c r="J264" s="635"/>
      <c r="K264" s="635"/>
      <c r="L264" s="635"/>
      <c r="M264" s="636"/>
      <c r="N264" s="2"/>
    </row>
    <row r="265" spans="1:64" ht="15">
      <c r="A265" s="20" t="s">
        <v>579</v>
      </c>
      <c r="B265" s="3" t="s">
        <v>749</v>
      </c>
      <c r="C265" s="618" t="s">
        <v>750</v>
      </c>
      <c r="D265" s="608"/>
      <c r="E265" s="3" t="s">
        <v>74</v>
      </c>
      <c r="F265" s="21">
        <v>121</v>
      </c>
      <c r="G265" s="537"/>
      <c r="H265" s="21">
        <f>F265*AO265</f>
        <v>0</v>
      </c>
      <c r="I265" s="21">
        <f>F265*AP265</f>
        <v>0</v>
      </c>
      <c r="J265" s="21">
        <f>F265*G265</f>
        <v>0</v>
      </c>
      <c r="K265" s="21">
        <v>0.00012</v>
      </c>
      <c r="L265" s="21">
        <f>F265*K265</f>
        <v>0.01452</v>
      </c>
      <c r="M265" s="22" t="s">
        <v>55</v>
      </c>
      <c r="N265" s="2"/>
      <c r="Z265" s="21">
        <f>IF(AQ265="5",BJ265,0)</f>
        <v>0</v>
      </c>
      <c r="AB265" s="21">
        <f>IF(AQ265="1",BH265,0)</f>
        <v>0</v>
      </c>
      <c r="AC265" s="21">
        <f>IF(AQ265="1",BI265,0)</f>
        <v>0</v>
      </c>
      <c r="AD265" s="21">
        <f>IF(AQ265="7",BH265,0)</f>
        <v>0</v>
      </c>
      <c r="AE265" s="21">
        <f>IF(AQ265="7",BI265,0)</f>
        <v>0</v>
      </c>
      <c r="AF265" s="21">
        <f>IF(AQ265="2",BH265,0)</f>
        <v>0</v>
      </c>
      <c r="AG265" s="21">
        <f>IF(AQ265="2",BI265,0)</f>
        <v>0</v>
      </c>
      <c r="AH265" s="21">
        <f>IF(AQ265="0",BJ265,0)</f>
        <v>0</v>
      </c>
      <c r="AI265" s="10"/>
      <c r="AJ265" s="21">
        <f>IF(AN265=0,J265,0)</f>
        <v>0</v>
      </c>
      <c r="AK265" s="21">
        <f>IF(AN265=15,J265,0)</f>
        <v>0</v>
      </c>
      <c r="AL265" s="21">
        <f>IF(AN265=21,J265,0)</f>
        <v>0</v>
      </c>
      <c r="AN265" s="21">
        <v>21</v>
      </c>
      <c r="AO265" s="21">
        <f>G265*0.53588110403397</f>
        <v>0</v>
      </c>
      <c r="AP265" s="21">
        <f>G265*(1-0.53588110403397)</f>
        <v>0</v>
      </c>
      <c r="AQ265" s="23" t="s">
        <v>51</v>
      </c>
      <c r="AV265" s="21">
        <f>AW265+AX265</f>
        <v>0</v>
      </c>
      <c r="AW265" s="21">
        <f>F265*AO265</f>
        <v>0</v>
      </c>
      <c r="AX265" s="21">
        <f>F265*AP265</f>
        <v>0</v>
      </c>
      <c r="AY265" s="23" t="s">
        <v>299</v>
      </c>
      <c r="AZ265" s="23" t="s">
        <v>300</v>
      </c>
      <c r="BA265" s="10" t="s">
        <v>58</v>
      </c>
      <c r="BC265" s="21">
        <f>AW265+AX265</f>
        <v>0</v>
      </c>
      <c r="BD265" s="21">
        <f>G265/(100-BE265)*100</f>
        <v>0</v>
      </c>
      <c r="BE265" s="21">
        <v>0</v>
      </c>
      <c r="BF265" s="21">
        <f>L265</f>
        <v>0.01452</v>
      </c>
      <c r="BH265" s="21">
        <f>F265*AO265</f>
        <v>0</v>
      </c>
      <c r="BI265" s="21">
        <f>F265*AP265</f>
        <v>0</v>
      </c>
      <c r="BJ265" s="21">
        <f>F265*G265</f>
        <v>0</v>
      </c>
      <c r="BK265" s="21" t="s">
        <v>59</v>
      </c>
      <c r="BL265" s="21">
        <v>91</v>
      </c>
    </row>
    <row r="266" spans="1:14" ht="15">
      <c r="A266" s="2"/>
      <c r="B266" s="27" t="s">
        <v>138</v>
      </c>
      <c r="C266" s="639" t="s">
        <v>533</v>
      </c>
      <c r="D266" s="640"/>
      <c r="E266" s="640"/>
      <c r="F266" s="640"/>
      <c r="G266" s="640"/>
      <c r="H266" s="640"/>
      <c r="I266" s="640"/>
      <c r="J266" s="640"/>
      <c r="K266" s="640"/>
      <c r="L266" s="640"/>
      <c r="M266" s="641"/>
      <c r="N266" s="2"/>
    </row>
    <row r="267" spans="1:14" ht="15">
      <c r="A267" s="2"/>
      <c r="C267" s="24" t="s">
        <v>751</v>
      </c>
      <c r="D267" s="24"/>
      <c r="F267" s="25">
        <v>121</v>
      </c>
      <c r="M267" s="26"/>
      <c r="N267" s="2"/>
    </row>
    <row r="268" spans="1:64" ht="15">
      <c r="A268" s="20" t="s">
        <v>567</v>
      </c>
      <c r="B268" s="3" t="s">
        <v>531</v>
      </c>
      <c r="C268" s="618" t="s">
        <v>532</v>
      </c>
      <c r="D268" s="608"/>
      <c r="E268" s="3" t="s">
        <v>54</v>
      </c>
      <c r="F268" s="21">
        <v>41</v>
      </c>
      <c r="G268" s="537"/>
      <c r="H268" s="21">
        <f>F268*AO268</f>
        <v>0</v>
      </c>
      <c r="I268" s="21">
        <f>F268*AP268</f>
        <v>0</v>
      </c>
      <c r="J268" s="21">
        <f>F268*G268</f>
        <v>0</v>
      </c>
      <c r="K268" s="21">
        <v>0.00076</v>
      </c>
      <c r="L268" s="21">
        <f>F268*K268</f>
        <v>0.03116</v>
      </c>
      <c r="M268" s="22" t="s">
        <v>55</v>
      </c>
      <c r="N268" s="2"/>
      <c r="Z268" s="21">
        <f>IF(AQ268="5",BJ268,0)</f>
        <v>0</v>
      </c>
      <c r="AB268" s="21">
        <f>IF(AQ268="1",BH268,0)</f>
        <v>0</v>
      </c>
      <c r="AC268" s="21">
        <f>IF(AQ268="1",BI268,0)</f>
        <v>0</v>
      </c>
      <c r="AD268" s="21">
        <f>IF(AQ268="7",BH268,0)</f>
        <v>0</v>
      </c>
      <c r="AE268" s="21">
        <f>IF(AQ268="7",BI268,0)</f>
        <v>0</v>
      </c>
      <c r="AF268" s="21">
        <f>IF(AQ268="2",BH268,0)</f>
        <v>0</v>
      </c>
      <c r="AG268" s="21">
        <f>IF(AQ268="2",BI268,0)</f>
        <v>0</v>
      </c>
      <c r="AH268" s="21">
        <f>IF(AQ268="0",BJ268,0)</f>
        <v>0</v>
      </c>
      <c r="AI268" s="10"/>
      <c r="AJ268" s="21">
        <f>IF(AN268=0,J268,0)</f>
        <v>0</v>
      </c>
      <c r="AK268" s="21">
        <f>IF(AN268=15,J268,0)</f>
        <v>0</v>
      </c>
      <c r="AL268" s="21">
        <f>IF(AN268=21,J268,0)</f>
        <v>0</v>
      </c>
      <c r="AN268" s="21">
        <v>21</v>
      </c>
      <c r="AO268" s="21">
        <f>G268*0.352277227722772</f>
        <v>0</v>
      </c>
      <c r="AP268" s="21">
        <f>G268*(1-0.352277227722772)</f>
        <v>0</v>
      </c>
      <c r="AQ268" s="23" t="s">
        <v>51</v>
      </c>
      <c r="AV268" s="21">
        <f>AW268+AX268</f>
        <v>0</v>
      </c>
      <c r="AW268" s="21">
        <f>F268*AO268</f>
        <v>0</v>
      </c>
      <c r="AX268" s="21">
        <f>F268*AP268</f>
        <v>0</v>
      </c>
      <c r="AY268" s="23" t="s">
        <v>299</v>
      </c>
      <c r="AZ268" s="23" t="s">
        <v>300</v>
      </c>
      <c r="BA268" s="10" t="s">
        <v>58</v>
      </c>
      <c r="BC268" s="21">
        <f>AW268+AX268</f>
        <v>0</v>
      </c>
      <c r="BD268" s="21">
        <f>G268/(100-BE268)*100</f>
        <v>0</v>
      </c>
      <c r="BE268" s="21">
        <v>0</v>
      </c>
      <c r="BF268" s="21">
        <f>L268</f>
        <v>0.03116</v>
      </c>
      <c r="BH268" s="21">
        <f>F268*AO268</f>
        <v>0</v>
      </c>
      <c r="BI268" s="21">
        <f>F268*AP268</f>
        <v>0</v>
      </c>
      <c r="BJ268" s="21">
        <f>F268*G268</f>
        <v>0</v>
      </c>
      <c r="BK268" s="21" t="s">
        <v>59</v>
      </c>
      <c r="BL268" s="21">
        <v>91</v>
      </c>
    </row>
    <row r="269" spans="1:14" ht="15">
      <c r="A269" s="2"/>
      <c r="B269" s="27" t="s">
        <v>138</v>
      </c>
      <c r="C269" s="639" t="s">
        <v>533</v>
      </c>
      <c r="D269" s="640"/>
      <c r="E269" s="640"/>
      <c r="F269" s="640"/>
      <c r="G269" s="640"/>
      <c r="H269" s="640"/>
      <c r="I269" s="640"/>
      <c r="J269" s="640"/>
      <c r="K269" s="640"/>
      <c r="L269" s="640"/>
      <c r="M269" s="641"/>
      <c r="N269" s="2"/>
    </row>
    <row r="270" spans="1:14" ht="15">
      <c r="A270" s="2"/>
      <c r="C270" s="24" t="s">
        <v>102</v>
      </c>
      <c r="D270" s="24" t="s">
        <v>752</v>
      </c>
      <c r="F270" s="25">
        <v>17</v>
      </c>
      <c r="M270" s="26"/>
      <c r="N270" s="2"/>
    </row>
    <row r="271" spans="1:14" ht="15">
      <c r="A271" s="2"/>
      <c r="C271" s="24" t="s">
        <v>94</v>
      </c>
      <c r="D271" s="24" t="s">
        <v>753</v>
      </c>
      <c r="F271" s="25">
        <v>8</v>
      </c>
      <c r="M271" s="26"/>
      <c r="N271" s="2"/>
    </row>
    <row r="272" spans="1:14" ht="15">
      <c r="A272" s="2"/>
      <c r="C272" s="24" t="s">
        <v>71</v>
      </c>
      <c r="D272" s="24" t="s">
        <v>754</v>
      </c>
      <c r="F272" s="25">
        <v>4</v>
      </c>
      <c r="M272" s="26"/>
      <c r="N272" s="2"/>
    </row>
    <row r="273" spans="1:14" ht="15">
      <c r="A273" s="2"/>
      <c r="C273" s="24" t="s">
        <v>76</v>
      </c>
      <c r="D273" s="24" t="s">
        <v>755</v>
      </c>
      <c r="F273" s="25">
        <v>12</v>
      </c>
      <c r="M273" s="26"/>
      <c r="N273" s="2"/>
    </row>
    <row r="274" spans="1:64" ht="15">
      <c r="A274" s="20" t="s">
        <v>756</v>
      </c>
      <c r="B274" s="3" t="s">
        <v>335</v>
      </c>
      <c r="C274" s="618" t="s">
        <v>336</v>
      </c>
      <c r="D274" s="608"/>
      <c r="E274" s="3" t="s">
        <v>260</v>
      </c>
      <c r="F274" s="21">
        <v>5</v>
      </c>
      <c r="G274" s="537"/>
      <c r="H274" s="21">
        <f>F274*AO274</f>
        <v>0</v>
      </c>
      <c r="I274" s="21">
        <f>F274*AP274</f>
        <v>0</v>
      </c>
      <c r="J274" s="21">
        <f>F274*G274</f>
        <v>0</v>
      </c>
      <c r="K274" s="21">
        <v>0.1133</v>
      </c>
      <c r="L274" s="21">
        <f>F274*K274</f>
        <v>0.5665</v>
      </c>
      <c r="M274" s="22" t="s">
        <v>55</v>
      </c>
      <c r="N274" s="2"/>
      <c r="Z274" s="21">
        <f>IF(AQ274="5",BJ274,0)</f>
        <v>0</v>
      </c>
      <c r="AB274" s="21">
        <f>IF(AQ274="1",BH274,0)</f>
        <v>0</v>
      </c>
      <c r="AC274" s="21">
        <f>IF(AQ274="1",BI274,0)</f>
        <v>0</v>
      </c>
      <c r="AD274" s="21">
        <f>IF(AQ274="7",BH274,0)</f>
        <v>0</v>
      </c>
      <c r="AE274" s="21">
        <f>IF(AQ274="7",BI274,0)</f>
        <v>0</v>
      </c>
      <c r="AF274" s="21">
        <f>IF(AQ274="2",BH274,0)</f>
        <v>0</v>
      </c>
      <c r="AG274" s="21">
        <f>IF(AQ274="2",BI274,0)</f>
        <v>0</v>
      </c>
      <c r="AH274" s="21">
        <f>IF(AQ274="0",BJ274,0)</f>
        <v>0</v>
      </c>
      <c r="AI274" s="10"/>
      <c r="AJ274" s="21">
        <f>IF(AN274=0,J274,0)</f>
        <v>0</v>
      </c>
      <c r="AK274" s="21">
        <f>IF(AN274=15,J274,0)</f>
        <v>0</v>
      </c>
      <c r="AL274" s="21">
        <f>IF(AN274=21,J274,0)</f>
        <v>0</v>
      </c>
      <c r="AN274" s="21">
        <v>21</v>
      </c>
      <c r="AO274" s="21">
        <f>G274*0.628078291814947</f>
        <v>0</v>
      </c>
      <c r="AP274" s="21">
        <f>G274*(1-0.628078291814947)</f>
        <v>0</v>
      </c>
      <c r="AQ274" s="23" t="s">
        <v>51</v>
      </c>
      <c r="AV274" s="21">
        <f>AW274+AX274</f>
        <v>0</v>
      </c>
      <c r="AW274" s="21">
        <f>F274*AO274</f>
        <v>0</v>
      </c>
      <c r="AX274" s="21">
        <f>F274*AP274</f>
        <v>0</v>
      </c>
      <c r="AY274" s="23" t="s">
        <v>299</v>
      </c>
      <c r="AZ274" s="23" t="s">
        <v>300</v>
      </c>
      <c r="BA274" s="10" t="s">
        <v>58</v>
      </c>
      <c r="BC274" s="21">
        <f>AW274+AX274</f>
        <v>0</v>
      </c>
      <c r="BD274" s="21">
        <f>G274/(100-BE274)*100</f>
        <v>0</v>
      </c>
      <c r="BE274" s="21">
        <v>0</v>
      </c>
      <c r="BF274" s="21">
        <f>L274</f>
        <v>0.5665</v>
      </c>
      <c r="BH274" s="21">
        <f>F274*AO274</f>
        <v>0</v>
      </c>
      <c r="BI274" s="21">
        <f>F274*AP274</f>
        <v>0</v>
      </c>
      <c r="BJ274" s="21">
        <f>F274*G274</f>
        <v>0</v>
      </c>
      <c r="BK274" s="21" t="s">
        <v>59</v>
      </c>
      <c r="BL274" s="21">
        <v>91</v>
      </c>
    </row>
    <row r="275" spans="1:14" ht="15">
      <c r="A275" s="2"/>
      <c r="C275" s="24" t="s">
        <v>78</v>
      </c>
      <c r="D275" s="24"/>
      <c r="F275" s="25">
        <v>5</v>
      </c>
      <c r="M275" s="26"/>
      <c r="N275" s="2"/>
    </row>
    <row r="276" spans="1:14" ht="15">
      <c r="A276" s="2"/>
      <c r="B276" s="27" t="s">
        <v>61</v>
      </c>
      <c r="C276" s="634" t="s">
        <v>337</v>
      </c>
      <c r="D276" s="635"/>
      <c r="E276" s="635"/>
      <c r="F276" s="635"/>
      <c r="G276" s="635"/>
      <c r="H276" s="635"/>
      <c r="I276" s="635"/>
      <c r="J276" s="635"/>
      <c r="K276" s="635"/>
      <c r="L276" s="635"/>
      <c r="M276" s="636"/>
      <c r="N276" s="2"/>
    </row>
    <row r="277" spans="1:64" ht="15">
      <c r="A277" s="20" t="s">
        <v>665</v>
      </c>
      <c r="B277" s="3" t="s">
        <v>338</v>
      </c>
      <c r="C277" s="618" t="s">
        <v>339</v>
      </c>
      <c r="D277" s="608"/>
      <c r="E277" s="3" t="s">
        <v>260</v>
      </c>
      <c r="F277" s="21">
        <v>5</v>
      </c>
      <c r="G277" s="537"/>
      <c r="H277" s="21">
        <f>F277*AO277</f>
        <v>0</v>
      </c>
      <c r="I277" s="21">
        <f>F277*AP277</f>
        <v>0</v>
      </c>
      <c r="J277" s="21">
        <f>F277*G277</f>
        <v>0</v>
      </c>
      <c r="K277" s="21">
        <v>0.0055</v>
      </c>
      <c r="L277" s="21">
        <f>F277*K277</f>
        <v>0.027499999999999997</v>
      </c>
      <c r="M277" s="22" t="s">
        <v>55</v>
      </c>
      <c r="N277" s="2"/>
      <c r="Z277" s="21">
        <f>IF(AQ277="5",BJ277,0)</f>
        <v>0</v>
      </c>
      <c r="AB277" s="21">
        <f>IF(AQ277="1",BH277,0)</f>
        <v>0</v>
      </c>
      <c r="AC277" s="21">
        <f>IF(AQ277="1",BI277,0)</f>
        <v>0</v>
      </c>
      <c r="AD277" s="21">
        <f>IF(AQ277="7",BH277,0)</f>
        <v>0</v>
      </c>
      <c r="AE277" s="21">
        <f>IF(AQ277="7",BI277,0)</f>
        <v>0</v>
      </c>
      <c r="AF277" s="21">
        <f>IF(AQ277="2",BH277,0)</f>
        <v>0</v>
      </c>
      <c r="AG277" s="21">
        <f>IF(AQ277="2",BI277,0)</f>
        <v>0</v>
      </c>
      <c r="AH277" s="21">
        <f>IF(AQ277="0",BJ277,0)</f>
        <v>0</v>
      </c>
      <c r="AI277" s="10"/>
      <c r="AJ277" s="21">
        <f>IF(AN277=0,J277,0)</f>
        <v>0</v>
      </c>
      <c r="AK277" s="21">
        <f>IF(AN277=15,J277,0)</f>
        <v>0</v>
      </c>
      <c r="AL277" s="21">
        <f>IF(AN277=21,J277,0)</f>
        <v>0</v>
      </c>
      <c r="AN277" s="21">
        <v>21</v>
      </c>
      <c r="AO277" s="21">
        <f>G277*1</f>
        <v>0</v>
      </c>
      <c r="AP277" s="21">
        <f>G277*(1-1)</f>
        <v>0</v>
      </c>
      <c r="AQ277" s="23" t="s">
        <v>51</v>
      </c>
      <c r="AV277" s="21">
        <f>AW277+AX277</f>
        <v>0</v>
      </c>
      <c r="AW277" s="21">
        <f>F277*AO277</f>
        <v>0</v>
      </c>
      <c r="AX277" s="21">
        <f>F277*AP277</f>
        <v>0</v>
      </c>
      <c r="AY277" s="23" t="s">
        <v>299</v>
      </c>
      <c r="AZ277" s="23" t="s">
        <v>300</v>
      </c>
      <c r="BA277" s="10" t="s">
        <v>58</v>
      </c>
      <c r="BC277" s="21">
        <f>AW277+AX277</f>
        <v>0</v>
      </c>
      <c r="BD277" s="21">
        <f>G277/(100-BE277)*100</f>
        <v>0</v>
      </c>
      <c r="BE277" s="21">
        <v>0</v>
      </c>
      <c r="BF277" s="21">
        <f>L277</f>
        <v>0.027499999999999997</v>
      </c>
      <c r="BH277" s="21">
        <f>F277*AO277</f>
        <v>0</v>
      </c>
      <c r="BI277" s="21">
        <f>F277*AP277</f>
        <v>0</v>
      </c>
      <c r="BJ277" s="21">
        <f>F277*G277</f>
        <v>0</v>
      </c>
      <c r="BK277" s="21" t="s">
        <v>201</v>
      </c>
      <c r="BL277" s="21">
        <v>91</v>
      </c>
    </row>
    <row r="278" spans="1:14" ht="15">
      <c r="A278" s="2"/>
      <c r="C278" s="24" t="s">
        <v>78</v>
      </c>
      <c r="D278" s="24"/>
      <c r="F278" s="25">
        <v>5</v>
      </c>
      <c r="M278" s="26"/>
      <c r="N278" s="2"/>
    </row>
    <row r="279" spans="1:14" ht="15">
      <c r="A279" s="2"/>
      <c r="B279" s="27" t="s">
        <v>61</v>
      </c>
      <c r="C279" s="634" t="s">
        <v>340</v>
      </c>
      <c r="D279" s="635"/>
      <c r="E279" s="635"/>
      <c r="F279" s="635"/>
      <c r="G279" s="635"/>
      <c r="H279" s="635"/>
      <c r="I279" s="635"/>
      <c r="J279" s="635"/>
      <c r="K279" s="635"/>
      <c r="L279" s="635"/>
      <c r="M279" s="636"/>
      <c r="N279" s="2"/>
    </row>
    <row r="280" spans="1:64" ht="15">
      <c r="A280" s="20" t="s">
        <v>288</v>
      </c>
      <c r="B280" s="3" t="s">
        <v>757</v>
      </c>
      <c r="C280" s="618" t="s">
        <v>758</v>
      </c>
      <c r="D280" s="608"/>
      <c r="E280" s="3" t="s">
        <v>260</v>
      </c>
      <c r="F280" s="21">
        <v>1</v>
      </c>
      <c r="G280" s="537"/>
      <c r="H280" s="21">
        <f>F280*AO280</f>
        <v>0</v>
      </c>
      <c r="I280" s="21">
        <f>F280*AP280</f>
        <v>0</v>
      </c>
      <c r="J280" s="21">
        <f>F280*G280</f>
        <v>0</v>
      </c>
      <c r="K280" s="21">
        <v>0.0051</v>
      </c>
      <c r="L280" s="21">
        <f>F280*K280</f>
        <v>0.0051</v>
      </c>
      <c r="M280" s="22" t="s">
        <v>55</v>
      </c>
      <c r="N280" s="2"/>
      <c r="Z280" s="21">
        <f>IF(AQ280="5",BJ280,0)</f>
        <v>0</v>
      </c>
      <c r="AB280" s="21">
        <f>IF(AQ280="1",BH280,0)</f>
        <v>0</v>
      </c>
      <c r="AC280" s="21">
        <f>IF(AQ280="1",BI280,0)</f>
        <v>0</v>
      </c>
      <c r="AD280" s="21">
        <f>IF(AQ280="7",BH280,0)</f>
        <v>0</v>
      </c>
      <c r="AE280" s="21">
        <f>IF(AQ280="7",BI280,0)</f>
        <v>0</v>
      </c>
      <c r="AF280" s="21">
        <f>IF(AQ280="2",BH280,0)</f>
        <v>0</v>
      </c>
      <c r="AG280" s="21">
        <f>IF(AQ280="2",BI280,0)</f>
        <v>0</v>
      </c>
      <c r="AH280" s="21">
        <f>IF(AQ280="0",BJ280,0)</f>
        <v>0</v>
      </c>
      <c r="AI280" s="10"/>
      <c r="AJ280" s="21">
        <f>IF(AN280=0,J280,0)</f>
        <v>0</v>
      </c>
      <c r="AK280" s="21">
        <f>IF(AN280=15,J280,0)</f>
        <v>0</v>
      </c>
      <c r="AL280" s="21">
        <f>IF(AN280=21,J280,0)</f>
        <v>0</v>
      </c>
      <c r="AN280" s="21">
        <v>21</v>
      </c>
      <c r="AO280" s="21">
        <f>G280*1</f>
        <v>0</v>
      </c>
      <c r="AP280" s="21">
        <f>G280*(1-1)</f>
        <v>0</v>
      </c>
      <c r="AQ280" s="23" t="s">
        <v>51</v>
      </c>
      <c r="AV280" s="21">
        <f>AW280+AX280</f>
        <v>0</v>
      </c>
      <c r="AW280" s="21">
        <f>F280*AO280</f>
        <v>0</v>
      </c>
      <c r="AX280" s="21">
        <f>F280*AP280</f>
        <v>0</v>
      </c>
      <c r="AY280" s="23" t="s">
        <v>299</v>
      </c>
      <c r="AZ280" s="23" t="s">
        <v>300</v>
      </c>
      <c r="BA280" s="10" t="s">
        <v>58</v>
      </c>
      <c r="BC280" s="21">
        <f>AW280+AX280</f>
        <v>0</v>
      </c>
      <c r="BD280" s="21">
        <f>G280/(100-BE280)*100</f>
        <v>0</v>
      </c>
      <c r="BE280" s="21">
        <v>0</v>
      </c>
      <c r="BF280" s="21">
        <f>L280</f>
        <v>0.0051</v>
      </c>
      <c r="BH280" s="21">
        <f>F280*AO280</f>
        <v>0</v>
      </c>
      <c r="BI280" s="21">
        <f>F280*AP280</f>
        <v>0</v>
      </c>
      <c r="BJ280" s="21">
        <f>F280*G280</f>
        <v>0</v>
      </c>
      <c r="BK280" s="21" t="s">
        <v>201</v>
      </c>
      <c r="BL280" s="21">
        <v>91</v>
      </c>
    </row>
    <row r="281" spans="1:14" ht="15">
      <c r="A281" s="2"/>
      <c r="C281" s="24" t="s">
        <v>51</v>
      </c>
      <c r="D281" s="24"/>
      <c r="F281" s="25">
        <v>1</v>
      </c>
      <c r="M281" s="26"/>
      <c r="N281" s="2"/>
    </row>
    <row r="282" spans="1:14" ht="51.45" customHeight="1">
      <c r="A282" s="2"/>
      <c r="B282" s="27" t="s">
        <v>61</v>
      </c>
      <c r="C282" s="634" t="s">
        <v>2479</v>
      </c>
      <c r="D282" s="635"/>
      <c r="E282" s="635"/>
      <c r="F282" s="635"/>
      <c r="G282" s="635"/>
      <c r="H282" s="635"/>
      <c r="I282" s="635"/>
      <c r="J282" s="635"/>
      <c r="K282" s="635"/>
      <c r="L282" s="635"/>
      <c r="M282" s="636"/>
      <c r="N282" s="2"/>
    </row>
    <row r="283" spans="1:64" ht="15">
      <c r="A283" s="20" t="s">
        <v>759</v>
      </c>
      <c r="B283" s="3" t="s">
        <v>760</v>
      </c>
      <c r="C283" s="618" t="s">
        <v>761</v>
      </c>
      <c r="D283" s="608"/>
      <c r="E283" s="3" t="s">
        <v>260</v>
      </c>
      <c r="F283" s="21">
        <v>2</v>
      </c>
      <c r="G283" s="537"/>
      <c r="H283" s="21">
        <f>F283*AO283</f>
        <v>0</v>
      </c>
      <c r="I283" s="21">
        <f>F283*AP283</f>
        <v>0</v>
      </c>
      <c r="J283" s="21">
        <f>F283*G283</f>
        <v>0</v>
      </c>
      <c r="K283" s="21">
        <v>0.0051</v>
      </c>
      <c r="L283" s="21">
        <f>F283*K283</f>
        <v>0.0102</v>
      </c>
      <c r="M283" s="22" t="s">
        <v>55</v>
      </c>
      <c r="N283" s="2"/>
      <c r="Z283" s="21">
        <f>IF(AQ283="5",BJ283,0)</f>
        <v>0</v>
      </c>
      <c r="AB283" s="21">
        <f>IF(AQ283="1",BH283,0)</f>
        <v>0</v>
      </c>
      <c r="AC283" s="21">
        <f>IF(AQ283="1",BI283,0)</f>
        <v>0</v>
      </c>
      <c r="AD283" s="21">
        <f>IF(AQ283="7",BH283,0)</f>
        <v>0</v>
      </c>
      <c r="AE283" s="21">
        <f>IF(AQ283="7",BI283,0)</f>
        <v>0</v>
      </c>
      <c r="AF283" s="21">
        <f>IF(AQ283="2",BH283,0)</f>
        <v>0</v>
      </c>
      <c r="AG283" s="21">
        <f>IF(AQ283="2",BI283,0)</f>
        <v>0</v>
      </c>
      <c r="AH283" s="21">
        <f>IF(AQ283="0",BJ283,0)</f>
        <v>0</v>
      </c>
      <c r="AI283" s="10"/>
      <c r="AJ283" s="21">
        <f>IF(AN283=0,J283,0)</f>
        <v>0</v>
      </c>
      <c r="AK283" s="21">
        <f>IF(AN283=15,J283,0)</f>
        <v>0</v>
      </c>
      <c r="AL283" s="21">
        <f>IF(AN283=21,J283,0)</f>
        <v>0</v>
      </c>
      <c r="AN283" s="21">
        <v>21</v>
      </c>
      <c r="AO283" s="21">
        <f>G283*1</f>
        <v>0</v>
      </c>
      <c r="AP283" s="21">
        <f>G283*(1-1)</f>
        <v>0</v>
      </c>
      <c r="AQ283" s="23" t="s">
        <v>51</v>
      </c>
      <c r="AV283" s="21">
        <f>AW283+AX283</f>
        <v>0</v>
      </c>
      <c r="AW283" s="21">
        <f>F283*AO283</f>
        <v>0</v>
      </c>
      <c r="AX283" s="21">
        <f>F283*AP283</f>
        <v>0</v>
      </c>
      <c r="AY283" s="23" t="s">
        <v>299</v>
      </c>
      <c r="AZ283" s="23" t="s">
        <v>300</v>
      </c>
      <c r="BA283" s="10" t="s">
        <v>58</v>
      </c>
      <c r="BC283" s="21">
        <f>AW283+AX283</f>
        <v>0</v>
      </c>
      <c r="BD283" s="21">
        <f>G283/(100-BE283)*100</f>
        <v>0</v>
      </c>
      <c r="BE283" s="21">
        <v>0</v>
      </c>
      <c r="BF283" s="21">
        <f>L283</f>
        <v>0.0102</v>
      </c>
      <c r="BH283" s="21">
        <f>F283*AO283</f>
        <v>0</v>
      </c>
      <c r="BI283" s="21">
        <f>F283*AP283</f>
        <v>0</v>
      </c>
      <c r="BJ283" s="21">
        <f>F283*G283</f>
        <v>0</v>
      </c>
      <c r="BK283" s="21" t="s">
        <v>201</v>
      </c>
      <c r="BL283" s="21">
        <v>91</v>
      </c>
    </row>
    <row r="284" spans="1:14" ht="15">
      <c r="A284" s="2"/>
      <c r="C284" s="24" t="s">
        <v>63</v>
      </c>
      <c r="D284" s="24"/>
      <c r="F284" s="25">
        <v>2</v>
      </c>
      <c r="M284" s="26"/>
      <c r="N284" s="2"/>
    </row>
    <row r="285" spans="1:14" ht="25.65" customHeight="1">
      <c r="A285" s="2"/>
      <c r="B285" s="27" t="s">
        <v>61</v>
      </c>
      <c r="C285" s="634" t="s">
        <v>762</v>
      </c>
      <c r="D285" s="635"/>
      <c r="E285" s="635"/>
      <c r="F285" s="635"/>
      <c r="G285" s="635"/>
      <c r="H285" s="635"/>
      <c r="I285" s="635"/>
      <c r="J285" s="635"/>
      <c r="K285" s="635"/>
      <c r="L285" s="635"/>
      <c r="M285" s="636"/>
      <c r="N285" s="2"/>
    </row>
    <row r="286" spans="1:64" ht="15">
      <c r="A286" s="20" t="s">
        <v>294</v>
      </c>
      <c r="B286" s="3" t="s">
        <v>553</v>
      </c>
      <c r="C286" s="618" t="s">
        <v>554</v>
      </c>
      <c r="D286" s="608"/>
      <c r="E286" s="3" t="s">
        <v>74</v>
      </c>
      <c r="F286" s="21">
        <v>62</v>
      </c>
      <c r="G286" s="537"/>
      <c r="H286" s="21">
        <f>F286*AO286</f>
        <v>0</v>
      </c>
      <c r="I286" s="21">
        <f>F286*AP286</f>
        <v>0</v>
      </c>
      <c r="J286" s="21">
        <f>F286*G286</f>
        <v>0</v>
      </c>
      <c r="K286" s="21">
        <v>0</v>
      </c>
      <c r="L286" s="21">
        <f>F286*K286</f>
        <v>0</v>
      </c>
      <c r="M286" s="22" t="s">
        <v>55</v>
      </c>
      <c r="N286" s="2"/>
      <c r="Z286" s="21">
        <f>IF(AQ286="5",BJ286,0)</f>
        <v>0</v>
      </c>
      <c r="AB286" s="21">
        <f>IF(AQ286="1",BH286,0)</f>
        <v>0</v>
      </c>
      <c r="AC286" s="21">
        <f>IF(AQ286="1",BI286,0)</f>
        <v>0</v>
      </c>
      <c r="AD286" s="21">
        <f>IF(AQ286="7",BH286,0)</f>
        <v>0</v>
      </c>
      <c r="AE286" s="21">
        <f>IF(AQ286="7",BI286,0)</f>
        <v>0</v>
      </c>
      <c r="AF286" s="21">
        <f>IF(AQ286="2",BH286,0)</f>
        <v>0</v>
      </c>
      <c r="AG286" s="21">
        <f>IF(AQ286="2",BI286,0)</f>
        <v>0</v>
      </c>
      <c r="AH286" s="21">
        <f>IF(AQ286="0",BJ286,0)</f>
        <v>0</v>
      </c>
      <c r="AI286" s="10"/>
      <c r="AJ286" s="21">
        <f>IF(AN286=0,J286,0)</f>
        <v>0</v>
      </c>
      <c r="AK286" s="21">
        <f>IF(AN286=15,J286,0)</f>
        <v>0</v>
      </c>
      <c r="AL286" s="21">
        <f>IF(AN286=21,J286,0)</f>
        <v>0</v>
      </c>
      <c r="AN286" s="21">
        <v>21</v>
      </c>
      <c r="AO286" s="21">
        <f>G286*0.503429602888087</f>
        <v>0</v>
      </c>
      <c r="AP286" s="21">
        <f>G286*(1-0.503429602888087)</f>
        <v>0</v>
      </c>
      <c r="AQ286" s="23" t="s">
        <v>51</v>
      </c>
      <c r="AV286" s="21">
        <f>AW286+AX286</f>
        <v>0</v>
      </c>
      <c r="AW286" s="21">
        <f>F286*AO286</f>
        <v>0</v>
      </c>
      <c r="AX286" s="21">
        <f>F286*AP286</f>
        <v>0</v>
      </c>
      <c r="AY286" s="23" t="s">
        <v>299</v>
      </c>
      <c r="AZ286" s="23" t="s">
        <v>300</v>
      </c>
      <c r="BA286" s="10" t="s">
        <v>58</v>
      </c>
      <c r="BC286" s="21">
        <f>AW286+AX286</f>
        <v>0</v>
      </c>
      <c r="BD286" s="21">
        <f>G286/(100-BE286)*100</f>
        <v>0</v>
      </c>
      <c r="BE286" s="21">
        <v>0</v>
      </c>
      <c r="BF286" s="21">
        <f>L286</f>
        <v>0</v>
      </c>
      <c r="BH286" s="21">
        <f>F286*AO286</f>
        <v>0</v>
      </c>
      <c r="BI286" s="21">
        <f>F286*AP286</f>
        <v>0</v>
      </c>
      <c r="BJ286" s="21">
        <f>F286*G286</f>
        <v>0</v>
      </c>
      <c r="BK286" s="21" t="s">
        <v>59</v>
      </c>
      <c r="BL286" s="21">
        <v>91</v>
      </c>
    </row>
    <row r="287" spans="1:14" ht="15">
      <c r="A287" s="2"/>
      <c r="C287" s="24" t="s">
        <v>356</v>
      </c>
      <c r="D287" s="24"/>
      <c r="F287" s="25">
        <v>62</v>
      </c>
      <c r="M287" s="26"/>
      <c r="N287" s="2"/>
    </row>
    <row r="288" spans="1:14" ht="15">
      <c r="A288" s="2"/>
      <c r="B288" s="27" t="s">
        <v>61</v>
      </c>
      <c r="C288" s="634" t="s">
        <v>555</v>
      </c>
      <c r="D288" s="635"/>
      <c r="E288" s="635"/>
      <c r="F288" s="635"/>
      <c r="G288" s="635"/>
      <c r="H288" s="635"/>
      <c r="I288" s="635"/>
      <c r="J288" s="635"/>
      <c r="K288" s="635"/>
      <c r="L288" s="635"/>
      <c r="M288" s="636"/>
      <c r="N288" s="2"/>
    </row>
    <row r="289" spans="1:64" ht="15">
      <c r="A289" s="20" t="s">
        <v>763</v>
      </c>
      <c r="B289" s="3" t="s">
        <v>764</v>
      </c>
      <c r="C289" s="618" t="s">
        <v>558</v>
      </c>
      <c r="D289" s="608"/>
      <c r="E289" s="3" t="s">
        <v>74</v>
      </c>
      <c r="F289" s="21">
        <v>62</v>
      </c>
      <c r="G289" s="537"/>
      <c r="H289" s="21">
        <f>F289*AO289</f>
        <v>0</v>
      </c>
      <c r="I289" s="21">
        <f>F289*AP289</f>
        <v>0</v>
      </c>
      <c r="J289" s="21">
        <f>F289*G289</f>
        <v>0</v>
      </c>
      <c r="K289" s="21">
        <v>2E-05</v>
      </c>
      <c r="L289" s="21">
        <f>F289*K289</f>
        <v>0.00124</v>
      </c>
      <c r="M289" s="539" t="s">
        <v>2130</v>
      </c>
      <c r="N289" s="2"/>
      <c r="Z289" s="21">
        <f>IF(AQ289="5",BJ289,0)</f>
        <v>0</v>
      </c>
      <c r="AB289" s="21">
        <f>IF(AQ289="1",BH289,0)</f>
        <v>0</v>
      </c>
      <c r="AC289" s="21">
        <f>IF(AQ289="1",BI289,0)</f>
        <v>0</v>
      </c>
      <c r="AD289" s="21">
        <f>IF(AQ289="7",BH289,0)</f>
        <v>0</v>
      </c>
      <c r="AE289" s="21">
        <f>IF(AQ289="7",BI289,0)</f>
        <v>0</v>
      </c>
      <c r="AF289" s="21">
        <f>IF(AQ289="2",BH289,0)</f>
        <v>0</v>
      </c>
      <c r="AG289" s="21">
        <f>IF(AQ289="2",BI289,0)</f>
        <v>0</v>
      </c>
      <c r="AH289" s="21">
        <f>IF(AQ289="0",BJ289,0)</f>
        <v>0</v>
      </c>
      <c r="AI289" s="10"/>
      <c r="AJ289" s="21">
        <f>IF(AN289=0,J289,0)</f>
        <v>0</v>
      </c>
      <c r="AK289" s="21">
        <f>IF(AN289=15,J289,0)</f>
        <v>0</v>
      </c>
      <c r="AL289" s="21">
        <f>IF(AN289=21,J289,0)</f>
        <v>0</v>
      </c>
      <c r="AN289" s="21">
        <v>21</v>
      </c>
      <c r="AO289" s="21">
        <f>G289*0.297666666666667</f>
        <v>0</v>
      </c>
      <c r="AP289" s="21">
        <f>G289*(1-0.297666666666667)</f>
        <v>0</v>
      </c>
      <c r="AQ289" s="23" t="s">
        <v>51</v>
      </c>
      <c r="AV289" s="21">
        <f>AW289+AX289</f>
        <v>0</v>
      </c>
      <c r="AW289" s="21">
        <f>F289*AO289</f>
        <v>0</v>
      </c>
      <c r="AX289" s="21">
        <f>F289*AP289</f>
        <v>0</v>
      </c>
      <c r="AY289" s="23" t="s">
        <v>299</v>
      </c>
      <c r="AZ289" s="23" t="s">
        <v>300</v>
      </c>
      <c r="BA289" s="10" t="s">
        <v>58</v>
      </c>
      <c r="BC289" s="21">
        <f>AW289+AX289</f>
        <v>0</v>
      </c>
      <c r="BD289" s="21">
        <f>G289/(100-BE289)*100</f>
        <v>0</v>
      </c>
      <c r="BE289" s="21">
        <v>0</v>
      </c>
      <c r="BF289" s="21">
        <f>L289</f>
        <v>0.00124</v>
      </c>
      <c r="BH289" s="21">
        <f>F289*AO289</f>
        <v>0</v>
      </c>
      <c r="BI289" s="21">
        <f>F289*AP289</f>
        <v>0</v>
      </c>
      <c r="BJ289" s="21">
        <f>F289*G289</f>
        <v>0</v>
      </c>
      <c r="BK289" s="21" t="s">
        <v>59</v>
      </c>
      <c r="BL289" s="21">
        <v>91</v>
      </c>
    </row>
    <row r="290" spans="1:14" ht="15">
      <c r="A290" s="2"/>
      <c r="C290" s="24" t="s">
        <v>356</v>
      </c>
      <c r="D290" s="24"/>
      <c r="F290" s="25">
        <v>62</v>
      </c>
      <c r="M290" s="26"/>
      <c r="N290" s="2"/>
    </row>
    <row r="291" spans="1:64" ht="15">
      <c r="A291" s="20" t="s">
        <v>765</v>
      </c>
      <c r="B291" s="3" t="s">
        <v>766</v>
      </c>
      <c r="C291" s="618" t="s">
        <v>767</v>
      </c>
      <c r="D291" s="608"/>
      <c r="E291" s="3" t="s">
        <v>54</v>
      </c>
      <c r="F291" s="21">
        <v>88</v>
      </c>
      <c r="G291" s="537"/>
      <c r="H291" s="21">
        <f>F291*AO291</f>
        <v>0</v>
      </c>
      <c r="I291" s="21">
        <f>F291*AP291</f>
        <v>0</v>
      </c>
      <c r="J291" s="21">
        <f>F291*G291</f>
        <v>0</v>
      </c>
      <c r="K291" s="21">
        <v>0.00018</v>
      </c>
      <c r="L291" s="21">
        <f>F291*K291</f>
        <v>0.01584</v>
      </c>
      <c r="M291" s="539" t="s">
        <v>2130</v>
      </c>
      <c r="N291" s="2"/>
      <c r="Z291" s="21">
        <f>IF(AQ291="5",BJ291,0)</f>
        <v>0</v>
      </c>
      <c r="AB291" s="21">
        <f>IF(AQ291="1",BH291,0)</f>
        <v>0</v>
      </c>
      <c r="AC291" s="21">
        <f>IF(AQ291="1",BI291,0)</f>
        <v>0</v>
      </c>
      <c r="AD291" s="21">
        <f>IF(AQ291="7",BH291,0)</f>
        <v>0</v>
      </c>
      <c r="AE291" s="21">
        <f>IF(AQ291="7",BI291,0)</f>
        <v>0</v>
      </c>
      <c r="AF291" s="21">
        <f>IF(AQ291="2",BH291,0)</f>
        <v>0</v>
      </c>
      <c r="AG291" s="21">
        <f>IF(AQ291="2",BI291,0)</f>
        <v>0</v>
      </c>
      <c r="AH291" s="21">
        <f>IF(AQ291="0",BJ291,0)</f>
        <v>0</v>
      </c>
      <c r="AI291" s="10"/>
      <c r="AJ291" s="21">
        <f>IF(AN291=0,J291,0)</f>
        <v>0</v>
      </c>
      <c r="AK291" s="21">
        <f>IF(AN291=15,J291,0)</f>
        <v>0</v>
      </c>
      <c r="AL291" s="21">
        <f>IF(AN291=21,J291,0)</f>
        <v>0</v>
      </c>
      <c r="AN291" s="21">
        <v>21</v>
      </c>
      <c r="AO291" s="21">
        <f>G291*0.8496</f>
        <v>0</v>
      </c>
      <c r="AP291" s="21">
        <f>G291*(1-0.8496)</f>
        <v>0</v>
      </c>
      <c r="AQ291" s="23" t="s">
        <v>51</v>
      </c>
      <c r="AV291" s="21">
        <f>AW291+AX291</f>
        <v>0</v>
      </c>
      <c r="AW291" s="21">
        <f>F291*AO291</f>
        <v>0</v>
      </c>
      <c r="AX291" s="21">
        <f>F291*AP291</f>
        <v>0</v>
      </c>
      <c r="AY291" s="23" t="s">
        <v>299</v>
      </c>
      <c r="AZ291" s="23" t="s">
        <v>300</v>
      </c>
      <c r="BA291" s="10" t="s">
        <v>58</v>
      </c>
      <c r="BC291" s="21">
        <f>AW291+AX291</f>
        <v>0</v>
      </c>
      <c r="BD291" s="21">
        <f>G291/(100-BE291)*100</f>
        <v>0</v>
      </c>
      <c r="BE291" s="21">
        <v>0</v>
      </c>
      <c r="BF291" s="21">
        <f>L291</f>
        <v>0.01584</v>
      </c>
      <c r="BH291" s="21">
        <f>F291*AO291</f>
        <v>0</v>
      </c>
      <c r="BI291" s="21">
        <f>F291*AP291</f>
        <v>0</v>
      </c>
      <c r="BJ291" s="21">
        <f>F291*G291</f>
        <v>0</v>
      </c>
      <c r="BK291" s="21" t="s">
        <v>59</v>
      </c>
      <c r="BL291" s="21">
        <v>91</v>
      </c>
    </row>
    <row r="292" spans="1:14" ht="15">
      <c r="A292" s="2"/>
      <c r="C292" s="24" t="s">
        <v>665</v>
      </c>
      <c r="D292" s="24"/>
      <c r="F292" s="25">
        <v>88</v>
      </c>
      <c r="M292" s="26"/>
      <c r="N292" s="2"/>
    </row>
    <row r="293" spans="1:64" ht="15">
      <c r="A293" s="20" t="s">
        <v>768</v>
      </c>
      <c r="B293" s="3" t="s">
        <v>769</v>
      </c>
      <c r="C293" s="618" t="s">
        <v>770</v>
      </c>
      <c r="D293" s="608"/>
      <c r="E293" s="3" t="s">
        <v>125</v>
      </c>
      <c r="F293" s="21">
        <v>0.4752</v>
      </c>
      <c r="G293" s="537"/>
      <c r="H293" s="21">
        <f>F293*AO293</f>
        <v>0</v>
      </c>
      <c r="I293" s="21">
        <f>F293*AP293</f>
        <v>0</v>
      </c>
      <c r="J293" s="21">
        <f>F293*G293</f>
        <v>0</v>
      </c>
      <c r="K293" s="21">
        <v>1.15283</v>
      </c>
      <c r="L293" s="21">
        <f>F293*K293</f>
        <v>0.547824816</v>
      </c>
      <c r="M293" s="22" t="s">
        <v>55</v>
      </c>
      <c r="N293" s="2"/>
      <c r="Z293" s="21">
        <f>IF(AQ293="5",BJ293,0)</f>
        <v>0</v>
      </c>
      <c r="AB293" s="21">
        <f>IF(AQ293="1",BH293,0)</f>
        <v>0</v>
      </c>
      <c r="AC293" s="21">
        <f>IF(AQ293="1",BI293,0)</f>
        <v>0</v>
      </c>
      <c r="AD293" s="21">
        <f>IF(AQ293="7",BH293,0)</f>
        <v>0</v>
      </c>
      <c r="AE293" s="21">
        <f>IF(AQ293="7",BI293,0)</f>
        <v>0</v>
      </c>
      <c r="AF293" s="21">
        <f>IF(AQ293="2",BH293,0)</f>
        <v>0</v>
      </c>
      <c r="AG293" s="21">
        <f>IF(AQ293="2",BI293,0)</f>
        <v>0</v>
      </c>
      <c r="AH293" s="21">
        <f>IF(AQ293="0",BJ293,0)</f>
        <v>0</v>
      </c>
      <c r="AI293" s="10"/>
      <c r="AJ293" s="21">
        <f>IF(AN293=0,J293,0)</f>
        <v>0</v>
      </c>
      <c r="AK293" s="21">
        <f>IF(AN293=15,J293,0)</f>
        <v>0</v>
      </c>
      <c r="AL293" s="21">
        <f>IF(AN293=21,J293,0)</f>
        <v>0</v>
      </c>
      <c r="AN293" s="21">
        <v>21</v>
      </c>
      <c r="AO293" s="21">
        <f>G293*0.893415371040459</f>
        <v>0</v>
      </c>
      <c r="AP293" s="21">
        <f>G293*(1-0.893415371040459)</f>
        <v>0</v>
      </c>
      <c r="AQ293" s="23" t="s">
        <v>51</v>
      </c>
      <c r="AV293" s="21">
        <f>AW293+AX293</f>
        <v>0</v>
      </c>
      <c r="AW293" s="21">
        <f>F293*AO293</f>
        <v>0</v>
      </c>
      <c r="AX293" s="21">
        <f>F293*AP293</f>
        <v>0</v>
      </c>
      <c r="AY293" s="23" t="s">
        <v>299</v>
      </c>
      <c r="AZ293" s="23" t="s">
        <v>300</v>
      </c>
      <c r="BA293" s="10" t="s">
        <v>58</v>
      </c>
      <c r="BC293" s="21">
        <f>AW293+AX293</f>
        <v>0</v>
      </c>
      <c r="BD293" s="21">
        <f>G293/(100-BE293)*100</f>
        <v>0</v>
      </c>
      <c r="BE293" s="21">
        <v>0</v>
      </c>
      <c r="BF293" s="21">
        <f>L293</f>
        <v>0.547824816</v>
      </c>
      <c r="BH293" s="21">
        <f>F293*AO293</f>
        <v>0</v>
      </c>
      <c r="BI293" s="21">
        <f>F293*AP293</f>
        <v>0</v>
      </c>
      <c r="BJ293" s="21">
        <f>F293*G293</f>
        <v>0</v>
      </c>
      <c r="BK293" s="21" t="s">
        <v>59</v>
      </c>
      <c r="BL293" s="21">
        <v>91</v>
      </c>
    </row>
    <row r="294" spans="1:14" ht="15">
      <c r="A294" s="2"/>
      <c r="C294" s="24" t="s">
        <v>771</v>
      </c>
      <c r="D294" s="24"/>
      <c r="F294" s="25">
        <v>0.4752</v>
      </c>
      <c r="M294" s="26"/>
      <c r="N294" s="2"/>
    </row>
    <row r="295" spans="1:64" ht="15">
      <c r="A295" s="20" t="s">
        <v>695</v>
      </c>
      <c r="B295" s="3" t="s">
        <v>772</v>
      </c>
      <c r="C295" s="618" t="s">
        <v>773</v>
      </c>
      <c r="D295" s="608"/>
      <c r="E295" s="3" t="s">
        <v>74</v>
      </c>
      <c r="F295" s="21">
        <v>17.5</v>
      </c>
      <c r="G295" s="537"/>
      <c r="H295" s="21">
        <f>F295*AO295</f>
        <v>0</v>
      </c>
      <c r="I295" s="21">
        <f>F295*AP295</f>
        <v>0</v>
      </c>
      <c r="J295" s="21">
        <f>F295*G295</f>
        <v>0</v>
      </c>
      <c r="K295" s="21">
        <v>1E-05</v>
      </c>
      <c r="L295" s="21">
        <f>F295*K295</f>
        <v>0.00017500000000000003</v>
      </c>
      <c r="M295" s="22" t="s">
        <v>55</v>
      </c>
      <c r="N295" s="2"/>
      <c r="Z295" s="21">
        <f>IF(AQ295="5",BJ295,0)</f>
        <v>0</v>
      </c>
      <c r="AB295" s="21">
        <f>IF(AQ295="1",BH295,0)</f>
        <v>0</v>
      </c>
      <c r="AC295" s="21">
        <f>IF(AQ295="1",BI295,0)</f>
        <v>0</v>
      </c>
      <c r="AD295" s="21">
        <f>IF(AQ295="7",BH295,0)</f>
        <v>0</v>
      </c>
      <c r="AE295" s="21">
        <f>IF(AQ295="7",BI295,0)</f>
        <v>0</v>
      </c>
      <c r="AF295" s="21">
        <f>IF(AQ295="2",BH295,0)</f>
        <v>0</v>
      </c>
      <c r="AG295" s="21">
        <f>IF(AQ295="2",BI295,0)</f>
        <v>0</v>
      </c>
      <c r="AH295" s="21">
        <f>IF(AQ295="0",BJ295,0)</f>
        <v>0</v>
      </c>
      <c r="AI295" s="10"/>
      <c r="AJ295" s="21">
        <f>IF(AN295=0,J295,0)</f>
        <v>0</v>
      </c>
      <c r="AK295" s="21">
        <f>IF(AN295=15,J295,0)</f>
        <v>0</v>
      </c>
      <c r="AL295" s="21">
        <f>IF(AN295=21,J295,0)</f>
        <v>0</v>
      </c>
      <c r="AN295" s="21">
        <v>21</v>
      </c>
      <c r="AO295" s="21">
        <f>G295*0.30924</f>
        <v>0</v>
      </c>
      <c r="AP295" s="21">
        <f>G295*(1-0.30924)</f>
        <v>0</v>
      </c>
      <c r="AQ295" s="23" t="s">
        <v>51</v>
      </c>
      <c r="AV295" s="21">
        <f>AW295+AX295</f>
        <v>0</v>
      </c>
      <c r="AW295" s="21">
        <f>F295*AO295</f>
        <v>0</v>
      </c>
      <c r="AX295" s="21">
        <f>F295*AP295</f>
        <v>0</v>
      </c>
      <c r="AY295" s="23" t="s">
        <v>299</v>
      </c>
      <c r="AZ295" s="23" t="s">
        <v>300</v>
      </c>
      <c r="BA295" s="10" t="s">
        <v>58</v>
      </c>
      <c r="BC295" s="21">
        <f>AW295+AX295</f>
        <v>0</v>
      </c>
      <c r="BD295" s="21">
        <f>G295/(100-BE295)*100</f>
        <v>0</v>
      </c>
      <c r="BE295" s="21">
        <v>0</v>
      </c>
      <c r="BF295" s="21">
        <f>L295</f>
        <v>0.00017500000000000003</v>
      </c>
      <c r="BH295" s="21">
        <f>F295*AO295</f>
        <v>0</v>
      </c>
      <c r="BI295" s="21">
        <f>F295*AP295</f>
        <v>0</v>
      </c>
      <c r="BJ295" s="21">
        <f>F295*G295</f>
        <v>0</v>
      </c>
      <c r="BK295" s="21" t="s">
        <v>59</v>
      </c>
      <c r="BL295" s="21">
        <v>91</v>
      </c>
    </row>
    <row r="296" spans="1:14" ht="15">
      <c r="A296" s="2"/>
      <c r="C296" s="24" t="s">
        <v>569</v>
      </c>
      <c r="D296" s="24"/>
      <c r="F296" s="25">
        <v>17.5</v>
      </c>
      <c r="M296" s="26"/>
      <c r="N296" s="2"/>
    </row>
    <row r="297" spans="1:64" ht="15">
      <c r="A297" s="20" t="s">
        <v>774</v>
      </c>
      <c r="B297" s="3" t="s">
        <v>775</v>
      </c>
      <c r="C297" s="618" t="s">
        <v>776</v>
      </c>
      <c r="D297" s="608"/>
      <c r="E297" s="3" t="s">
        <v>74</v>
      </c>
      <c r="F297" s="21">
        <v>17.5</v>
      </c>
      <c r="G297" s="537"/>
      <c r="H297" s="21">
        <f>F297*AO297</f>
        <v>0</v>
      </c>
      <c r="I297" s="21">
        <f>F297*AP297</f>
        <v>0</v>
      </c>
      <c r="J297" s="21">
        <f>F297*G297</f>
        <v>0</v>
      </c>
      <c r="K297" s="21">
        <v>2E-05</v>
      </c>
      <c r="L297" s="21">
        <f>F297*K297</f>
        <v>0.00035000000000000005</v>
      </c>
      <c r="M297" s="22" t="s">
        <v>55</v>
      </c>
      <c r="N297" s="2"/>
      <c r="Z297" s="21">
        <f>IF(AQ297="5",BJ297,0)</f>
        <v>0</v>
      </c>
      <c r="AB297" s="21">
        <f>IF(AQ297="1",BH297,0)</f>
        <v>0</v>
      </c>
      <c r="AC297" s="21">
        <f>IF(AQ297="1",BI297,0)</f>
        <v>0</v>
      </c>
      <c r="AD297" s="21">
        <f>IF(AQ297="7",BH297,0)</f>
        <v>0</v>
      </c>
      <c r="AE297" s="21">
        <f>IF(AQ297="7",BI297,0)</f>
        <v>0</v>
      </c>
      <c r="AF297" s="21">
        <f>IF(AQ297="2",BH297,0)</f>
        <v>0</v>
      </c>
      <c r="AG297" s="21">
        <f>IF(AQ297="2",BI297,0)</f>
        <v>0</v>
      </c>
      <c r="AH297" s="21">
        <f>IF(AQ297="0",BJ297,0)</f>
        <v>0</v>
      </c>
      <c r="AI297" s="10"/>
      <c r="AJ297" s="21">
        <f>IF(AN297=0,J297,0)</f>
        <v>0</v>
      </c>
      <c r="AK297" s="21">
        <f>IF(AN297=15,J297,0)</f>
        <v>0</v>
      </c>
      <c r="AL297" s="21">
        <f>IF(AN297=21,J297,0)</f>
        <v>0</v>
      </c>
      <c r="AN297" s="21">
        <v>21</v>
      </c>
      <c r="AO297" s="21">
        <f>G297*0.29747198229004</f>
        <v>0</v>
      </c>
      <c r="AP297" s="21">
        <f>G297*(1-0.29747198229004)</f>
        <v>0</v>
      </c>
      <c r="AQ297" s="23" t="s">
        <v>51</v>
      </c>
      <c r="AV297" s="21">
        <f>AW297+AX297</f>
        <v>0</v>
      </c>
      <c r="AW297" s="21">
        <f>F297*AO297</f>
        <v>0</v>
      </c>
      <c r="AX297" s="21">
        <f>F297*AP297</f>
        <v>0</v>
      </c>
      <c r="AY297" s="23" t="s">
        <v>299</v>
      </c>
      <c r="AZ297" s="23" t="s">
        <v>300</v>
      </c>
      <c r="BA297" s="10" t="s">
        <v>58</v>
      </c>
      <c r="BC297" s="21">
        <f>AW297+AX297</f>
        <v>0</v>
      </c>
      <c r="BD297" s="21">
        <f>G297/(100-BE297)*100</f>
        <v>0</v>
      </c>
      <c r="BE297" s="21">
        <v>0</v>
      </c>
      <c r="BF297" s="21">
        <f>L297</f>
        <v>0.00035000000000000005</v>
      </c>
      <c r="BH297" s="21">
        <f>F297*AO297</f>
        <v>0</v>
      </c>
      <c r="BI297" s="21">
        <f>F297*AP297</f>
        <v>0</v>
      </c>
      <c r="BJ297" s="21">
        <f>F297*G297</f>
        <v>0</v>
      </c>
      <c r="BK297" s="21" t="s">
        <v>59</v>
      </c>
      <c r="BL297" s="21">
        <v>91</v>
      </c>
    </row>
    <row r="298" spans="1:14" ht="15">
      <c r="A298" s="2"/>
      <c r="C298" s="24" t="s">
        <v>569</v>
      </c>
      <c r="D298" s="24"/>
      <c r="F298" s="25">
        <v>17.5</v>
      </c>
      <c r="M298" s="26"/>
      <c r="N298" s="2"/>
    </row>
    <row r="299" spans="1:64" ht="15">
      <c r="A299" s="20" t="s">
        <v>367</v>
      </c>
      <c r="B299" s="3" t="s">
        <v>777</v>
      </c>
      <c r="C299" s="618" t="s">
        <v>778</v>
      </c>
      <c r="D299" s="608"/>
      <c r="E299" s="3" t="s">
        <v>54</v>
      </c>
      <c r="F299" s="21">
        <v>88</v>
      </c>
      <c r="G299" s="537"/>
      <c r="H299" s="21">
        <f>F299*AO299</f>
        <v>0</v>
      </c>
      <c r="I299" s="21">
        <f>F299*AP299</f>
        <v>0</v>
      </c>
      <c r="J299" s="21">
        <f>F299*G299</f>
        <v>0</v>
      </c>
      <c r="K299" s="21">
        <v>0</v>
      </c>
      <c r="L299" s="21">
        <f>F299*K299</f>
        <v>0</v>
      </c>
      <c r="M299" s="22" t="s">
        <v>55</v>
      </c>
      <c r="N299" s="2"/>
      <c r="Z299" s="21">
        <f>IF(AQ299="5",BJ299,0)</f>
        <v>0</v>
      </c>
      <c r="AB299" s="21">
        <f>IF(AQ299="1",BH299,0)</f>
        <v>0</v>
      </c>
      <c r="AC299" s="21">
        <f>IF(AQ299="1",BI299,0)</f>
        <v>0</v>
      </c>
      <c r="AD299" s="21">
        <f>IF(AQ299="7",BH299,0)</f>
        <v>0</v>
      </c>
      <c r="AE299" s="21">
        <f>IF(AQ299="7",BI299,0)</f>
        <v>0</v>
      </c>
      <c r="AF299" s="21">
        <f>IF(AQ299="2",BH299,0)</f>
        <v>0</v>
      </c>
      <c r="AG299" s="21">
        <f>IF(AQ299="2",BI299,0)</f>
        <v>0</v>
      </c>
      <c r="AH299" s="21">
        <f>IF(AQ299="0",BJ299,0)</f>
        <v>0</v>
      </c>
      <c r="AI299" s="10"/>
      <c r="AJ299" s="21">
        <f>IF(AN299=0,J299,0)</f>
        <v>0</v>
      </c>
      <c r="AK299" s="21">
        <f>IF(AN299=15,J299,0)</f>
        <v>0</v>
      </c>
      <c r="AL299" s="21">
        <f>IF(AN299=21,J299,0)</f>
        <v>0</v>
      </c>
      <c r="AN299" s="21">
        <v>21</v>
      </c>
      <c r="AO299" s="21">
        <f>G299*0.257142857142857</f>
        <v>0</v>
      </c>
      <c r="AP299" s="21">
        <f>G299*(1-0.257142857142857)</f>
        <v>0</v>
      </c>
      <c r="AQ299" s="23" t="s">
        <v>51</v>
      </c>
      <c r="AV299" s="21">
        <f>AW299+AX299</f>
        <v>0</v>
      </c>
      <c r="AW299" s="21">
        <f>F299*AO299</f>
        <v>0</v>
      </c>
      <c r="AX299" s="21">
        <f>F299*AP299</f>
        <v>0</v>
      </c>
      <c r="AY299" s="23" t="s">
        <v>299</v>
      </c>
      <c r="AZ299" s="23" t="s">
        <v>300</v>
      </c>
      <c r="BA299" s="10" t="s">
        <v>58</v>
      </c>
      <c r="BC299" s="21">
        <f>AW299+AX299</f>
        <v>0</v>
      </c>
      <c r="BD299" s="21">
        <f>G299/(100-BE299)*100</f>
        <v>0</v>
      </c>
      <c r="BE299" s="21">
        <v>0</v>
      </c>
      <c r="BF299" s="21">
        <f>L299</f>
        <v>0</v>
      </c>
      <c r="BH299" s="21">
        <f>F299*AO299</f>
        <v>0</v>
      </c>
      <c r="BI299" s="21">
        <f>F299*AP299</f>
        <v>0</v>
      </c>
      <c r="BJ299" s="21">
        <f>F299*G299</f>
        <v>0</v>
      </c>
      <c r="BK299" s="21" t="s">
        <v>59</v>
      </c>
      <c r="BL299" s="21">
        <v>91</v>
      </c>
    </row>
    <row r="300" spans="1:14" ht="15">
      <c r="A300" s="2"/>
      <c r="C300" s="24" t="s">
        <v>665</v>
      </c>
      <c r="D300" s="24"/>
      <c r="F300" s="25">
        <v>88</v>
      </c>
      <c r="M300" s="26"/>
      <c r="N300" s="2"/>
    </row>
    <row r="301" spans="1:64" ht="15">
      <c r="A301" s="20" t="s">
        <v>779</v>
      </c>
      <c r="B301" s="3" t="s">
        <v>329</v>
      </c>
      <c r="C301" s="618" t="s">
        <v>780</v>
      </c>
      <c r="D301" s="608"/>
      <c r="E301" s="3" t="s">
        <v>54</v>
      </c>
      <c r="F301" s="21">
        <v>88</v>
      </c>
      <c r="G301" s="537"/>
      <c r="H301" s="21">
        <f>F301*AO301</f>
        <v>0</v>
      </c>
      <c r="I301" s="21">
        <f>F301*AP301</f>
        <v>0</v>
      </c>
      <c r="J301" s="21">
        <f>F301*G301</f>
        <v>0</v>
      </c>
      <c r="K301" s="21">
        <v>2E-05</v>
      </c>
      <c r="L301" s="21">
        <f>F301*K301</f>
        <v>0.00176</v>
      </c>
      <c r="M301" s="539" t="s">
        <v>2130</v>
      </c>
      <c r="N301" s="2"/>
      <c r="Z301" s="21">
        <f>IF(AQ301="5",BJ301,0)</f>
        <v>0</v>
      </c>
      <c r="AB301" s="21">
        <f>IF(AQ301="1",BH301,0)</f>
        <v>0</v>
      </c>
      <c r="AC301" s="21">
        <f>IF(AQ301="1",BI301,0)</f>
        <v>0</v>
      </c>
      <c r="AD301" s="21">
        <f>IF(AQ301="7",BH301,0)</f>
        <v>0</v>
      </c>
      <c r="AE301" s="21">
        <f>IF(AQ301="7",BI301,0)</f>
        <v>0</v>
      </c>
      <c r="AF301" s="21">
        <f>IF(AQ301="2",BH301,0)</f>
        <v>0</v>
      </c>
      <c r="AG301" s="21">
        <f>IF(AQ301="2",BI301,0)</f>
        <v>0</v>
      </c>
      <c r="AH301" s="21">
        <f>IF(AQ301="0",BJ301,0)</f>
        <v>0</v>
      </c>
      <c r="AI301" s="10"/>
      <c r="AJ301" s="21">
        <f>IF(AN301=0,J301,0)</f>
        <v>0</v>
      </c>
      <c r="AK301" s="21">
        <f>IF(AN301=15,J301,0)</f>
        <v>0</v>
      </c>
      <c r="AL301" s="21">
        <f>IF(AN301=21,J301,0)</f>
        <v>0</v>
      </c>
      <c r="AN301" s="21">
        <v>21</v>
      </c>
      <c r="AO301" s="21">
        <f>G301*0.3475</f>
        <v>0</v>
      </c>
      <c r="AP301" s="21">
        <f>G301*(1-0.3475)</f>
        <v>0</v>
      </c>
      <c r="AQ301" s="23" t="s">
        <v>51</v>
      </c>
      <c r="AV301" s="21">
        <f>AW301+AX301</f>
        <v>0</v>
      </c>
      <c r="AW301" s="21">
        <f>F301*AO301</f>
        <v>0</v>
      </c>
      <c r="AX301" s="21">
        <f>F301*AP301</f>
        <v>0</v>
      </c>
      <c r="AY301" s="23" t="s">
        <v>299</v>
      </c>
      <c r="AZ301" s="23" t="s">
        <v>300</v>
      </c>
      <c r="BA301" s="10" t="s">
        <v>58</v>
      </c>
      <c r="BC301" s="21">
        <f>AW301+AX301</f>
        <v>0</v>
      </c>
      <c r="BD301" s="21">
        <f>G301/(100-BE301)*100</f>
        <v>0</v>
      </c>
      <c r="BE301" s="21">
        <v>0</v>
      </c>
      <c r="BF301" s="21">
        <f>L301</f>
        <v>0.00176</v>
      </c>
      <c r="BH301" s="21">
        <f>F301*AO301</f>
        <v>0</v>
      </c>
      <c r="BI301" s="21">
        <f>F301*AP301</f>
        <v>0</v>
      </c>
      <c r="BJ301" s="21">
        <f>F301*G301</f>
        <v>0</v>
      </c>
      <c r="BK301" s="21" t="s">
        <v>59</v>
      </c>
      <c r="BL301" s="21">
        <v>91</v>
      </c>
    </row>
    <row r="302" spans="1:14" ht="15">
      <c r="A302" s="2"/>
      <c r="C302" s="24" t="s">
        <v>665</v>
      </c>
      <c r="D302" s="24"/>
      <c r="F302" s="25">
        <v>88</v>
      </c>
      <c r="M302" s="26"/>
      <c r="N302" s="2"/>
    </row>
    <row r="303" spans="1:64" ht="15">
      <c r="A303" s="20" t="s">
        <v>781</v>
      </c>
      <c r="B303" s="3" t="s">
        <v>557</v>
      </c>
      <c r="C303" s="618" t="s">
        <v>782</v>
      </c>
      <c r="D303" s="608"/>
      <c r="E303" s="3" t="s">
        <v>260</v>
      </c>
      <c r="F303" s="21">
        <v>200</v>
      </c>
      <c r="G303" s="537"/>
      <c r="H303" s="21">
        <f>F303*AO303</f>
        <v>0</v>
      </c>
      <c r="I303" s="21">
        <f>F303*AP303</f>
        <v>0</v>
      </c>
      <c r="J303" s="21">
        <f>F303*G303</f>
        <v>0</v>
      </c>
      <c r="K303" s="21">
        <v>9E-05</v>
      </c>
      <c r="L303" s="21">
        <f>F303*K303</f>
        <v>0.018000000000000002</v>
      </c>
      <c r="M303" s="539" t="s">
        <v>2130</v>
      </c>
      <c r="N303" s="2"/>
      <c r="Z303" s="21">
        <f>IF(AQ303="5",BJ303,0)</f>
        <v>0</v>
      </c>
      <c r="AB303" s="21">
        <f>IF(AQ303="1",BH303,0)</f>
        <v>0</v>
      </c>
      <c r="AC303" s="21">
        <f>IF(AQ303="1",BI303,0)</f>
        <v>0</v>
      </c>
      <c r="AD303" s="21">
        <f>IF(AQ303="7",BH303,0)</f>
        <v>0</v>
      </c>
      <c r="AE303" s="21">
        <f>IF(AQ303="7",BI303,0)</f>
        <v>0</v>
      </c>
      <c r="AF303" s="21">
        <f>IF(AQ303="2",BH303,0)</f>
        <v>0</v>
      </c>
      <c r="AG303" s="21">
        <f>IF(AQ303="2",BI303,0)</f>
        <v>0</v>
      </c>
      <c r="AH303" s="21">
        <f>IF(AQ303="0",BJ303,0)</f>
        <v>0</v>
      </c>
      <c r="AI303" s="10"/>
      <c r="AJ303" s="21">
        <f>IF(AN303=0,J303,0)</f>
        <v>0</v>
      </c>
      <c r="AK303" s="21">
        <f>IF(AN303=15,J303,0)</f>
        <v>0</v>
      </c>
      <c r="AL303" s="21">
        <f>IF(AN303=21,J303,0)</f>
        <v>0</v>
      </c>
      <c r="AN303" s="21">
        <v>21</v>
      </c>
      <c r="AO303" s="21">
        <f>G303*0.6775</f>
        <v>0</v>
      </c>
      <c r="AP303" s="21">
        <f>G303*(1-0.6775)</f>
        <v>0</v>
      </c>
      <c r="AQ303" s="23" t="s">
        <v>51</v>
      </c>
      <c r="AV303" s="21">
        <f>AW303+AX303</f>
        <v>0</v>
      </c>
      <c r="AW303" s="21">
        <f>F303*AO303</f>
        <v>0</v>
      </c>
      <c r="AX303" s="21">
        <f>F303*AP303</f>
        <v>0</v>
      </c>
      <c r="AY303" s="23" t="s">
        <v>299</v>
      </c>
      <c r="AZ303" s="23" t="s">
        <v>300</v>
      </c>
      <c r="BA303" s="10" t="s">
        <v>58</v>
      </c>
      <c r="BC303" s="21">
        <f>AW303+AX303</f>
        <v>0</v>
      </c>
      <c r="BD303" s="21">
        <f>G303/(100-BE303)*100</f>
        <v>0</v>
      </c>
      <c r="BE303" s="21">
        <v>0</v>
      </c>
      <c r="BF303" s="21">
        <f>L303</f>
        <v>0.018000000000000002</v>
      </c>
      <c r="BH303" s="21">
        <f>F303*AO303</f>
        <v>0</v>
      </c>
      <c r="BI303" s="21">
        <f>F303*AP303</f>
        <v>0</v>
      </c>
      <c r="BJ303" s="21">
        <f>F303*G303</f>
        <v>0</v>
      </c>
      <c r="BK303" s="21" t="s">
        <v>59</v>
      </c>
      <c r="BL303" s="21">
        <v>91</v>
      </c>
    </row>
    <row r="304" spans="1:14" ht="15">
      <c r="A304" s="2"/>
      <c r="B304" s="27" t="s">
        <v>138</v>
      </c>
      <c r="C304" s="639" t="s">
        <v>783</v>
      </c>
      <c r="D304" s="640"/>
      <c r="E304" s="640"/>
      <c r="F304" s="640"/>
      <c r="G304" s="640"/>
      <c r="H304" s="640"/>
      <c r="I304" s="640"/>
      <c r="J304" s="640"/>
      <c r="K304" s="640"/>
      <c r="L304" s="640"/>
      <c r="M304" s="641"/>
      <c r="N304" s="2"/>
    </row>
    <row r="305" spans="1:14" ht="15">
      <c r="A305" s="2"/>
      <c r="C305" s="24" t="s">
        <v>605</v>
      </c>
      <c r="D305" s="24"/>
      <c r="F305" s="25">
        <v>200</v>
      </c>
      <c r="M305" s="26"/>
      <c r="N305" s="2"/>
    </row>
    <row r="306" spans="1:64" ht="15">
      <c r="A306" s="20" t="s">
        <v>784</v>
      </c>
      <c r="B306" s="3" t="s">
        <v>785</v>
      </c>
      <c r="C306" s="618" t="s">
        <v>786</v>
      </c>
      <c r="D306" s="608"/>
      <c r="E306" s="3" t="s">
        <v>74</v>
      </c>
      <c r="F306" s="21">
        <v>23</v>
      </c>
      <c r="G306" s="537"/>
      <c r="H306" s="21">
        <f>F306*AO306</f>
        <v>0</v>
      </c>
      <c r="I306" s="21">
        <f>F306*AP306</f>
        <v>0</v>
      </c>
      <c r="J306" s="21">
        <f>F306*G306</f>
        <v>0</v>
      </c>
      <c r="K306" s="21">
        <v>0.04131</v>
      </c>
      <c r="L306" s="21">
        <f>F306*K306</f>
        <v>0.95013</v>
      </c>
      <c r="M306" s="539" t="s">
        <v>2130</v>
      </c>
      <c r="N306" s="2"/>
      <c r="Z306" s="21">
        <f>IF(AQ306="5",BJ306,0)</f>
        <v>0</v>
      </c>
      <c r="AB306" s="21">
        <f>IF(AQ306="1",BH306,0)</f>
        <v>0</v>
      </c>
      <c r="AC306" s="21">
        <f>IF(AQ306="1",BI306,0)</f>
        <v>0</v>
      </c>
      <c r="AD306" s="21">
        <f>IF(AQ306="7",BH306,0)</f>
        <v>0</v>
      </c>
      <c r="AE306" s="21">
        <f>IF(AQ306="7",BI306,0)</f>
        <v>0</v>
      </c>
      <c r="AF306" s="21">
        <f>IF(AQ306="2",BH306,0)</f>
        <v>0</v>
      </c>
      <c r="AG306" s="21">
        <f>IF(AQ306="2",BI306,0)</f>
        <v>0</v>
      </c>
      <c r="AH306" s="21">
        <f>IF(AQ306="0",BJ306,0)</f>
        <v>0</v>
      </c>
      <c r="AI306" s="10"/>
      <c r="AJ306" s="21">
        <f>IF(AN306=0,J306,0)</f>
        <v>0</v>
      </c>
      <c r="AK306" s="21">
        <f>IF(AN306=15,J306,0)</f>
        <v>0</v>
      </c>
      <c r="AL306" s="21">
        <f>IF(AN306=21,J306,0)</f>
        <v>0</v>
      </c>
      <c r="AN306" s="21">
        <v>21</v>
      </c>
      <c r="AO306" s="21">
        <f>G306*0.781669230769231</f>
        <v>0</v>
      </c>
      <c r="AP306" s="21">
        <f>G306*(1-0.781669230769231)</f>
        <v>0</v>
      </c>
      <c r="AQ306" s="23" t="s">
        <v>51</v>
      </c>
      <c r="AV306" s="21">
        <f>AW306+AX306</f>
        <v>0</v>
      </c>
      <c r="AW306" s="21">
        <f>F306*AO306</f>
        <v>0</v>
      </c>
      <c r="AX306" s="21">
        <f>F306*AP306</f>
        <v>0</v>
      </c>
      <c r="AY306" s="23" t="s">
        <v>299</v>
      </c>
      <c r="AZ306" s="23" t="s">
        <v>300</v>
      </c>
      <c r="BA306" s="10" t="s">
        <v>58</v>
      </c>
      <c r="BC306" s="21">
        <f>AW306+AX306</f>
        <v>0</v>
      </c>
      <c r="BD306" s="21">
        <f>G306/(100-BE306)*100</f>
        <v>0</v>
      </c>
      <c r="BE306" s="21">
        <v>0</v>
      </c>
      <c r="BF306" s="21">
        <f>L306</f>
        <v>0.95013</v>
      </c>
      <c r="BH306" s="21">
        <f>F306*AO306</f>
        <v>0</v>
      </c>
      <c r="BI306" s="21">
        <f>F306*AP306</f>
        <v>0</v>
      </c>
      <c r="BJ306" s="21">
        <f>F306*G306</f>
        <v>0</v>
      </c>
      <c r="BK306" s="21" t="s">
        <v>59</v>
      </c>
      <c r="BL306" s="21">
        <v>91</v>
      </c>
    </row>
    <row r="307" spans="1:14" ht="15">
      <c r="A307" s="2"/>
      <c r="C307" s="24" t="s">
        <v>70</v>
      </c>
      <c r="D307" s="24"/>
      <c r="F307" s="25">
        <v>23</v>
      </c>
      <c r="M307" s="26"/>
      <c r="N307" s="2"/>
    </row>
    <row r="308" spans="1:47" ht="15">
      <c r="A308" s="41"/>
      <c r="B308" s="42" t="s">
        <v>774</v>
      </c>
      <c r="C308" s="637" t="s">
        <v>787</v>
      </c>
      <c r="D308" s="638"/>
      <c r="E308" s="43" t="s">
        <v>4</v>
      </c>
      <c r="F308" s="43" t="s">
        <v>4</v>
      </c>
      <c r="G308" s="43" t="s">
        <v>4</v>
      </c>
      <c r="H308" s="44">
        <f>SUM(H309:H317)</f>
        <v>0</v>
      </c>
      <c r="I308" s="44">
        <f>SUM(I309:I317)</f>
        <v>0</v>
      </c>
      <c r="J308" s="44">
        <f>SUM(J309:J317)</f>
        <v>0</v>
      </c>
      <c r="K308" s="45"/>
      <c r="L308" s="44">
        <f>SUM(L309:L317)</f>
        <v>6.959903000000001</v>
      </c>
      <c r="M308" s="46"/>
      <c r="N308" s="2"/>
      <c r="AI308" s="10"/>
      <c r="AS308" s="19">
        <f>SUM(AJ309:AJ317)</f>
        <v>0</v>
      </c>
      <c r="AT308" s="19">
        <f>SUM(AK309:AK317)</f>
        <v>0</v>
      </c>
      <c r="AU308" s="19">
        <f>SUM(AL309:AL317)</f>
        <v>0</v>
      </c>
    </row>
    <row r="309" spans="1:64" ht="15">
      <c r="A309" s="20" t="s">
        <v>788</v>
      </c>
      <c r="B309" s="3" t="s">
        <v>789</v>
      </c>
      <c r="C309" s="618" t="s">
        <v>790</v>
      </c>
      <c r="D309" s="608"/>
      <c r="E309" s="3" t="s">
        <v>81</v>
      </c>
      <c r="F309" s="21">
        <v>1.1</v>
      </c>
      <c r="G309" s="537"/>
      <c r="H309" s="21">
        <f>F309*AO309</f>
        <v>0</v>
      </c>
      <c r="I309" s="21">
        <f>F309*AP309</f>
        <v>0</v>
      </c>
      <c r="J309" s="21">
        <f>F309*G309</f>
        <v>0</v>
      </c>
      <c r="K309" s="21">
        <v>2.27133</v>
      </c>
      <c r="L309" s="21">
        <f>F309*K309</f>
        <v>2.498463</v>
      </c>
      <c r="M309" s="22" t="s">
        <v>55</v>
      </c>
      <c r="N309" s="2"/>
      <c r="Z309" s="21">
        <f>IF(AQ309="5",BJ309,0)</f>
        <v>0</v>
      </c>
      <c r="AB309" s="21">
        <f>IF(AQ309="1",BH309,0)</f>
        <v>0</v>
      </c>
      <c r="AC309" s="21">
        <f>IF(AQ309="1",BI309,0)</f>
        <v>0</v>
      </c>
      <c r="AD309" s="21">
        <f>IF(AQ309="7",BH309,0)</f>
        <v>0</v>
      </c>
      <c r="AE309" s="21">
        <f>IF(AQ309="7",BI309,0)</f>
        <v>0</v>
      </c>
      <c r="AF309" s="21">
        <f>IF(AQ309="2",BH309,0)</f>
        <v>0</v>
      </c>
      <c r="AG309" s="21">
        <f>IF(AQ309="2",BI309,0)</f>
        <v>0</v>
      </c>
      <c r="AH309" s="21">
        <f>IF(AQ309="0",BJ309,0)</f>
        <v>0</v>
      </c>
      <c r="AI309" s="10"/>
      <c r="AJ309" s="21">
        <f>IF(AN309=0,J309,0)</f>
        <v>0</v>
      </c>
      <c r="AK309" s="21">
        <f>IF(AN309=15,J309,0)</f>
        <v>0</v>
      </c>
      <c r="AL309" s="21">
        <f>IF(AN309=21,J309,0)</f>
        <v>0</v>
      </c>
      <c r="AN309" s="21">
        <v>21</v>
      </c>
      <c r="AO309" s="21">
        <f>G309*0.0395199544942051</f>
        <v>0</v>
      </c>
      <c r="AP309" s="21">
        <f>G309*(1-0.0395199544942051)</f>
        <v>0</v>
      </c>
      <c r="AQ309" s="23" t="s">
        <v>51</v>
      </c>
      <c r="AV309" s="21">
        <f>AW309+AX309</f>
        <v>0</v>
      </c>
      <c r="AW309" s="21">
        <f>F309*AO309</f>
        <v>0</v>
      </c>
      <c r="AX309" s="21">
        <f>F309*AP309</f>
        <v>0</v>
      </c>
      <c r="AY309" s="23" t="s">
        <v>791</v>
      </c>
      <c r="AZ309" s="23" t="s">
        <v>300</v>
      </c>
      <c r="BA309" s="10" t="s">
        <v>58</v>
      </c>
      <c r="BC309" s="21">
        <f>AW309+AX309</f>
        <v>0</v>
      </c>
      <c r="BD309" s="21">
        <f>G309/(100-BE309)*100</f>
        <v>0</v>
      </c>
      <c r="BE309" s="21">
        <v>0</v>
      </c>
      <c r="BF309" s="21">
        <f>L309</f>
        <v>2.498463</v>
      </c>
      <c r="BH309" s="21">
        <f>F309*AO309</f>
        <v>0</v>
      </c>
      <c r="BI309" s="21">
        <f>F309*AP309</f>
        <v>0</v>
      </c>
      <c r="BJ309" s="21">
        <f>F309*G309</f>
        <v>0</v>
      </c>
      <c r="BK309" s="21" t="s">
        <v>59</v>
      </c>
      <c r="BL309" s="21">
        <v>96</v>
      </c>
    </row>
    <row r="310" spans="1:14" ht="15">
      <c r="A310" s="2"/>
      <c r="C310" s="24" t="s">
        <v>792</v>
      </c>
      <c r="D310" s="24"/>
      <c r="F310" s="25">
        <v>1.1</v>
      </c>
      <c r="M310" s="26"/>
      <c r="N310" s="2"/>
    </row>
    <row r="311" spans="1:14" ht="15">
      <c r="A311" s="2"/>
      <c r="B311" s="27" t="s">
        <v>61</v>
      </c>
      <c r="C311" s="634" t="s">
        <v>793</v>
      </c>
      <c r="D311" s="635"/>
      <c r="E311" s="635"/>
      <c r="F311" s="635"/>
      <c r="G311" s="635"/>
      <c r="H311" s="635"/>
      <c r="I311" s="635"/>
      <c r="J311" s="635"/>
      <c r="K311" s="635"/>
      <c r="L311" s="635"/>
      <c r="M311" s="636"/>
      <c r="N311" s="2"/>
    </row>
    <row r="312" spans="1:64" ht="15">
      <c r="A312" s="20" t="s">
        <v>794</v>
      </c>
      <c r="B312" s="3" t="s">
        <v>795</v>
      </c>
      <c r="C312" s="618" t="s">
        <v>796</v>
      </c>
      <c r="D312" s="608"/>
      <c r="E312" s="3" t="s">
        <v>81</v>
      </c>
      <c r="F312" s="21">
        <v>1.76</v>
      </c>
      <c r="G312" s="537"/>
      <c r="H312" s="21">
        <f>F312*AO312</f>
        <v>0</v>
      </c>
      <c r="I312" s="21">
        <f>F312*AP312</f>
        <v>0</v>
      </c>
      <c r="J312" s="21">
        <f>F312*G312</f>
        <v>0</v>
      </c>
      <c r="K312" s="21">
        <v>2</v>
      </c>
      <c r="L312" s="21">
        <f>F312*K312</f>
        <v>3.52</v>
      </c>
      <c r="M312" s="22" t="s">
        <v>55</v>
      </c>
      <c r="N312" s="2"/>
      <c r="Z312" s="21">
        <f>IF(AQ312="5",BJ312,0)</f>
        <v>0</v>
      </c>
      <c r="AB312" s="21">
        <f>IF(AQ312="1",BH312,0)</f>
        <v>0</v>
      </c>
      <c r="AC312" s="21">
        <f>IF(AQ312="1",BI312,0)</f>
        <v>0</v>
      </c>
      <c r="AD312" s="21">
        <f>IF(AQ312="7",BH312,0)</f>
        <v>0</v>
      </c>
      <c r="AE312" s="21">
        <f>IF(AQ312="7",BI312,0)</f>
        <v>0</v>
      </c>
      <c r="AF312" s="21">
        <f>IF(AQ312="2",BH312,0)</f>
        <v>0</v>
      </c>
      <c r="AG312" s="21">
        <f>IF(AQ312="2",BI312,0)</f>
        <v>0</v>
      </c>
      <c r="AH312" s="21">
        <f>IF(AQ312="0",BJ312,0)</f>
        <v>0</v>
      </c>
      <c r="AI312" s="10"/>
      <c r="AJ312" s="21">
        <f>IF(AN312=0,J312,0)</f>
        <v>0</v>
      </c>
      <c r="AK312" s="21">
        <f>IF(AN312=15,J312,0)</f>
        <v>0</v>
      </c>
      <c r="AL312" s="21">
        <f>IF(AN312=21,J312,0)</f>
        <v>0</v>
      </c>
      <c r="AN312" s="21">
        <v>21</v>
      </c>
      <c r="AO312" s="21">
        <f>G312*0</f>
        <v>0</v>
      </c>
      <c r="AP312" s="21">
        <f>G312*(1-0)</f>
        <v>0</v>
      </c>
      <c r="AQ312" s="23" t="s">
        <v>51</v>
      </c>
      <c r="AV312" s="21">
        <f>AW312+AX312</f>
        <v>0</v>
      </c>
      <c r="AW312" s="21">
        <f>F312*AO312</f>
        <v>0</v>
      </c>
      <c r="AX312" s="21">
        <f>F312*AP312</f>
        <v>0</v>
      </c>
      <c r="AY312" s="23" t="s">
        <v>791</v>
      </c>
      <c r="AZ312" s="23" t="s">
        <v>300</v>
      </c>
      <c r="BA312" s="10" t="s">
        <v>58</v>
      </c>
      <c r="BC312" s="21">
        <f>AW312+AX312</f>
        <v>0</v>
      </c>
      <c r="BD312" s="21">
        <f>G312/(100-BE312)*100</f>
        <v>0</v>
      </c>
      <c r="BE312" s="21">
        <v>0</v>
      </c>
      <c r="BF312" s="21">
        <f>L312</f>
        <v>3.52</v>
      </c>
      <c r="BH312" s="21">
        <f>F312*AO312</f>
        <v>0</v>
      </c>
      <c r="BI312" s="21">
        <f>F312*AP312</f>
        <v>0</v>
      </c>
      <c r="BJ312" s="21">
        <f>F312*G312</f>
        <v>0</v>
      </c>
      <c r="BK312" s="21" t="s">
        <v>59</v>
      </c>
      <c r="BL312" s="21">
        <v>96</v>
      </c>
    </row>
    <row r="313" spans="1:14" ht="15">
      <c r="A313" s="2"/>
      <c r="C313" s="24" t="s">
        <v>797</v>
      </c>
      <c r="D313" s="24"/>
      <c r="F313" s="25">
        <v>1.76</v>
      </c>
      <c r="M313" s="26"/>
      <c r="N313" s="2"/>
    </row>
    <row r="314" spans="1:14" ht="15">
      <c r="A314" s="2"/>
      <c r="B314" s="27" t="s">
        <v>61</v>
      </c>
      <c r="C314" s="634" t="s">
        <v>793</v>
      </c>
      <c r="D314" s="635"/>
      <c r="E314" s="635"/>
      <c r="F314" s="635"/>
      <c r="G314" s="635"/>
      <c r="H314" s="635"/>
      <c r="I314" s="635"/>
      <c r="J314" s="635"/>
      <c r="K314" s="635"/>
      <c r="L314" s="635"/>
      <c r="M314" s="636"/>
      <c r="N314" s="2"/>
    </row>
    <row r="315" spans="1:64" ht="15">
      <c r="A315" s="20" t="s">
        <v>589</v>
      </c>
      <c r="B315" s="3" t="s">
        <v>798</v>
      </c>
      <c r="C315" s="618" t="s">
        <v>799</v>
      </c>
      <c r="D315" s="608"/>
      <c r="E315" s="3" t="s">
        <v>74</v>
      </c>
      <c r="F315" s="21">
        <v>43</v>
      </c>
      <c r="G315" s="537"/>
      <c r="H315" s="21">
        <f>F315*AO315</f>
        <v>0</v>
      </c>
      <c r="I315" s="21">
        <f>F315*AP315</f>
        <v>0</v>
      </c>
      <c r="J315" s="21">
        <f>F315*G315</f>
        <v>0</v>
      </c>
      <c r="K315" s="21">
        <v>0.01808</v>
      </c>
      <c r="L315" s="21">
        <f>F315*K315</f>
        <v>0.7774399999999999</v>
      </c>
      <c r="M315" s="22"/>
      <c r="N315" s="2"/>
      <c r="Z315" s="21">
        <f>IF(AQ315="5",BJ315,0)</f>
        <v>0</v>
      </c>
      <c r="AB315" s="21">
        <f>IF(AQ315="1",BH315,0)</f>
        <v>0</v>
      </c>
      <c r="AC315" s="21">
        <f>IF(AQ315="1",BI315,0)</f>
        <v>0</v>
      </c>
      <c r="AD315" s="21">
        <f>IF(AQ315="7",BH315,0)</f>
        <v>0</v>
      </c>
      <c r="AE315" s="21">
        <f>IF(AQ315="7",BI315,0)</f>
        <v>0</v>
      </c>
      <c r="AF315" s="21">
        <f>IF(AQ315="2",BH315,0)</f>
        <v>0</v>
      </c>
      <c r="AG315" s="21">
        <f>IF(AQ315="2",BI315,0)</f>
        <v>0</v>
      </c>
      <c r="AH315" s="21">
        <f>IF(AQ315="0",BJ315,0)</f>
        <v>0</v>
      </c>
      <c r="AI315" s="10"/>
      <c r="AJ315" s="21">
        <f>IF(AN315=0,J315,0)</f>
        <v>0</v>
      </c>
      <c r="AK315" s="21">
        <f>IF(AN315=15,J315,0)</f>
        <v>0</v>
      </c>
      <c r="AL315" s="21">
        <f>IF(AN315=21,J315,0)</f>
        <v>0</v>
      </c>
      <c r="AN315" s="21">
        <v>21</v>
      </c>
      <c r="AO315" s="21">
        <f>G315*0.035</f>
        <v>0</v>
      </c>
      <c r="AP315" s="21">
        <f>G315*(1-0.035)</f>
        <v>0</v>
      </c>
      <c r="AQ315" s="23" t="s">
        <v>51</v>
      </c>
      <c r="AV315" s="21">
        <f>AW315+AX315</f>
        <v>0</v>
      </c>
      <c r="AW315" s="21">
        <f>F315*AO315</f>
        <v>0</v>
      </c>
      <c r="AX315" s="21">
        <f>F315*AP315</f>
        <v>0</v>
      </c>
      <c r="AY315" s="23" t="s">
        <v>791</v>
      </c>
      <c r="AZ315" s="23" t="s">
        <v>300</v>
      </c>
      <c r="BA315" s="10" t="s">
        <v>58</v>
      </c>
      <c r="BC315" s="21">
        <f>AW315+AX315</f>
        <v>0</v>
      </c>
      <c r="BD315" s="21">
        <f>G315/(100-BE315)*100</f>
        <v>0</v>
      </c>
      <c r="BE315" s="21">
        <v>0</v>
      </c>
      <c r="BF315" s="21">
        <f>L315</f>
        <v>0.7774399999999999</v>
      </c>
      <c r="BH315" s="21">
        <f>F315*AO315</f>
        <v>0</v>
      </c>
      <c r="BI315" s="21">
        <f>F315*AP315</f>
        <v>0</v>
      </c>
      <c r="BJ315" s="21">
        <f>F315*G315</f>
        <v>0</v>
      </c>
      <c r="BK315" s="21" t="s">
        <v>59</v>
      </c>
      <c r="BL315" s="21">
        <v>96</v>
      </c>
    </row>
    <row r="316" spans="1:14" ht="15">
      <c r="A316" s="2"/>
      <c r="C316" s="24" t="s">
        <v>266</v>
      </c>
      <c r="D316" s="24"/>
      <c r="F316" s="25">
        <v>43</v>
      </c>
      <c r="M316" s="26"/>
      <c r="N316" s="2"/>
    </row>
    <row r="317" spans="1:64" ht="15">
      <c r="A317" s="20" t="s">
        <v>800</v>
      </c>
      <c r="B317" s="3" t="s">
        <v>801</v>
      </c>
      <c r="C317" s="618" t="s">
        <v>802</v>
      </c>
      <c r="D317" s="608"/>
      <c r="E317" s="3" t="s">
        <v>260</v>
      </c>
      <c r="F317" s="21">
        <v>2</v>
      </c>
      <c r="G317" s="537"/>
      <c r="H317" s="21">
        <f>F317*AO317</f>
        <v>0</v>
      </c>
      <c r="I317" s="21">
        <f>F317*AP317</f>
        <v>0</v>
      </c>
      <c r="J317" s="21">
        <f>F317*G317</f>
        <v>0</v>
      </c>
      <c r="K317" s="21">
        <v>0.082</v>
      </c>
      <c r="L317" s="21">
        <f>F317*K317</f>
        <v>0.164</v>
      </c>
      <c r="M317" s="22" t="s">
        <v>55</v>
      </c>
      <c r="N317" s="2"/>
      <c r="Z317" s="21">
        <f>IF(AQ317="5",BJ317,0)</f>
        <v>0</v>
      </c>
      <c r="AB317" s="21">
        <f>IF(AQ317="1",BH317,0)</f>
        <v>0</v>
      </c>
      <c r="AC317" s="21">
        <f>IF(AQ317="1",BI317,0)</f>
        <v>0</v>
      </c>
      <c r="AD317" s="21">
        <f>IF(AQ317="7",BH317,0)</f>
        <v>0</v>
      </c>
      <c r="AE317" s="21">
        <f>IF(AQ317="7",BI317,0)</f>
        <v>0</v>
      </c>
      <c r="AF317" s="21">
        <f>IF(AQ317="2",BH317,0)</f>
        <v>0</v>
      </c>
      <c r="AG317" s="21">
        <f>IF(AQ317="2",BI317,0)</f>
        <v>0</v>
      </c>
      <c r="AH317" s="21">
        <f>IF(AQ317="0",BJ317,0)</f>
        <v>0</v>
      </c>
      <c r="AI317" s="10"/>
      <c r="AJ317" s="21">
        <f>IF(AN317=0,J317,0)</f>
        <v>0</v>
      </c>
      <c r="AK317" s="21">
        <f>IF(AN317=15,J317,0)</f>
        <v>0</v>
      </c>
      <c r="AL317" s="21">
        <f>IF(AN317=21,J317,0)</f>
        <v>0</v>
      </c>
      <c r="AN317" s="21">
        <v>21</v>
      </c>
      <c r="AO317" s="21">
        <f>G317*0</f>
        <v>0</v>
      </c>
      <c r="AP317" s="21">
        <f>G317*(1-0)</f>
        <v>0</v>
      </c>
      <c r="AQ317" s="23" t="s">
        <v>51</v>
      </c>
      <c r="AV317" s="21">
        <f>AW317+AX317</f>
        <v>0</v>
      </c>
      <c r="AW317" s="21">
        <f>F317*AO317</f>
        <v>0</v>
      </c>
      <c r="AX317" s="21">
        <f>F317*AP317</f>
        <v>0</v>
      </c>
      <c r="AY317" s="23" t="s">
        <v>791</v>
      </c>
      <c r="AZ317" s="23" t="s">
        <v>300</v>
      </c>
      <c r="BA317" s="10" t="s">
        <v>58</v>
      </c>
      <c r="BC317" s="21">
        <f>AW317+AX317</f>
        <v>0</v>
      </c>
      <c r="BD317" s="21">
        <f>G317/(100-BE317)*100</f>
        <v>0</v>
      </c>
      <c r="BE317" s="21">
        <v>0</v>
      </c>
      <c r="BF317" s="21">
        <f>L317</f>
        <v>0.164</v>
      </c>
      <c r="BH317" s="21">
        <f>F317*AO317</f>
        <v>0</v>
      </c>
      <c r="BI317" s="21">
        <f>F317*AP317</f>
        <v>0</v>
      </c>
      <c r="BJ317" s="21">
        <f>F317*G317</f>
        <v>0</v>
      </c>
      <c r="BK317" s="21" t="s">
        <v>59</v>
      </c>
      <c r="BL317" s="21">
        <v>96</v>
      </c>
    </row>
    <row r="318" spans="1:14" ht="15">
      <c r="A318" s="2"/>
      <c r="C318" s="24" t="s">
        <v>63</v>
      </c>
      <c r="D318" s="24"/>
      <c r="F318" s="25">
        <v>2</v>
      </c>
      <c r="M318" s="26"/>
      <c r="N318" s="2"/>
    </row>
    <row r="319" spans="1:47" ht="15">
      <c r="A319" s="41"/>
      <c r="B319" s="42" t="s">
        <v>375</v>
      </c>
      <c r="C319" s="637" t="s">
        <v>376</v>
      </c>
      <c r="D319" s="638"/>
      <c r="E319" s="43" t="s">
        <v>4</v>
      </c>
      <c r="F319" s="43" t="s">
        <v>4</v>
      </c>
      <c r="G319" s="43" t="s">
        <v>4</v>
      </c>
      <c r="H319" s="44">
        <f>SUM(H320:H326)</f>
        <v>0</v>
      </c>
      <c r="I319" s="44">
        <f>SUM(I320:I326)</f>
        <v>0</v>
      </c>
      <c r="J319" s="44">
        <f>SUM(J320:J326)</f>
        <v>0</v>
      </c>
      <c r="K319" s="45"/>
      <c r="L319" s="44">
        <f>SUM(L320:L326)</f>
        <v>0</v>
      </c>
      <c r="M319" s="46"/>
      <c r="N319" s="2"/>
      <c r="AI319" s="10"/>
      <c r="AS319" s="19">
        <f>SUM(AJ320:AJ326)</f>
        <v>0</v>
      </c>
      <c r="AT319" s="19">
        <f>SUM(AK320:AK326)</f>
        <v>0</v>
      </c>
      <c r="AU319" s="19">
        <f>SUM(AL320:AL326)</f>
        <v>0</v>
      </c>
    </row>
    <row r="320" spans="1:64" ht="15">
      <c r="A320" s="20" t="s">
        <v>256</v>
      </c>
      <c r="B320" s="3" t="s">
        <v>378</v>
      </c>
      <c r="C320" s="618" t="s">
        <v>379</v>
      </c>
      <c r="D320" s="608"/>
      <c r="E320" s="3" t="s">
        <v>125</v>
      </c>
      <c r="F320" s="21">
        <v>256.85766</v>
      </c>
      <c r="G320" s="537"/>
      <c r="H320" s="21">
        <f>F320*AO320</f>
        <v>0</v>
      </c>
      <c r="I320" s="21">
        <f>F320*AP320</f>
        <v>0</v>
      </c>
      <c r="J320" s="21">
        <f>F320*G320</f>
        <v>0</v>
      </c>
      <c r="K320" s="21">
        <v>0</v>
      </c>
      <c r="L320" s="21">
        <f>F320*K320</f>
        <v>0</v>
      </c>
      <c r="M320" s="22" t="s">
        <v>55</v>
      </c>
      <c r="N320" s="2"/>
      <c r="Z320" s="21">
        <f>IF(AQ320="5",BJ320,0)</f>
        <v>0</v>
      </c>
      <c r="AB320" s="21">
        <f>IF(AQ320="1",BH320,0)</f>
        <v>0</v>
      </c>
      <c r="AC320" s="21">
        <f>IF(AQ320="1",BI320,0)</f>
        <v>0</v>
      </c>
      <c r="AD320" s="21">
        <f>IF(AQ320="7",BH320,0)</f>
        <v>0</v>
      </c>
      <c r="AE320" s="21">
        <f>IF(AQ320="7",BI320,0)</f>
        <v>0</v>
      </c>
      <c r="AF320" s="21">
        <f>IF(AQ320="2",BH320,0)</f>
        <v>0</v>
      </c>
      <c r="AG320" s="21">
        <f>IF(AQ320="2",BI320,0)</f>
        <v>0</v>
      </c>
      <c r="AH320" s="21">
        <f>IF(AQ320="0",BJ320,0)</f>
        <v>0</v>
      </c>
      <c r="AI320" s="10"/>
      <c r="AJ320" s="21">
        <f>IF(AN320=0,J320,0)</f>
        <v>0</v>
      </c>
      <c r="AK320" s="21">
        <f>IF(AN320=15,J320,0)</f>
        <v>0</v>
      </c>
      <c r="AL320" s="21">
        <f>IF(AN320=21,J320,0)</f>
        <v>0</v>
      </c>
      <c r="AN320" s="21">
        <v>21</v>
      </c>
      <c r="AO320" s="21">
        <f>G320*0.0129981381248923</f>
        <v>0</v>
      </c>
      <c r="AP320" s="21">
        <f>G320*(1-0.0129981381248923)</f>
        <v>0</v>
      </c>
      <c r="AQ320" s="23" t="s">
        <v>78</v>
      </c>
      <c r="AV320" s="21">
        <f>AW320+AX320</f>
        <v>0</v>
      </c>
      <c r="AW320" s="21">
        <f>F320*AO320</f>
        <v>0</v>
      </c>
      <c r="AX320" s="21">
        <f>F320*AP320</f>
        <v>0</v>
      </c>
      <c r="AY320" s="23" t="s">
        <v>380</v>
      </c>
      <c r="AZ320" s="23" t="s">
        <v>300</v>
      </c>
      <c r="BA320" s="10" t="s">
        <v>58</v>
      </c>
      <c r="BC320" s="21">
        <f>AW320+AX320</f>
        <v>0</v>
      </c>
      <c r="BD320" s="21">
        <f>G320/(100-BE320)*100</f>
        <v>0</v>
      </c>
      <c r="BE320" s="21">
        <v>0</v>
      </c>
      <c r="BF320" s="21">
        <f>L320</f>
        <v>0</v>
      </c>
      <c r="BH320" s="21">
        <f>F320*AO320</f>
        <v>0</v>
      </c>
      <c r="BI320" s="21">
        <f>F320*AP320</f>
        <v>0</v>
      </c>
      <c r="BJ320" s="21">
        <f>F320*G320</f>
        <v>0</v>
      </c>
      <c r="BK320" s="21" t="s">
        <v>59</v>
      </c>
      <c r="BL320" s="21" t="s">
        <v>375</v>
      </c>
    </row>
    <row r="321" spans="1:14" ht="15">
      <c r="A321" s="2"/>
      <c r="B321" s="27" t="s">
        <v>61</v>
      </c>
      <c r="C321" s="634" t="s">
        <v>381</v>
      </c>
      <c r="D321" s="635"/>
      <c r="E321" s="635"/>
      <c r="F321" s="635"/>
      <c r="G321" s="635"/>
      <c r="H321" s="635"/>
      <c r="I321" s="635"/>
      <c r="J321" s="635"/>
      <c r="K321" s="635"/>
      <c r="L321" s="635"/>
      <c r="M321" s="636"/>
      <c r="N321" s="2"/>
    </row>
    <row r="322" spans="1:64" ht="15">
      <c r="A322" s="20" t="s">
        <v>803</v>
      </c>
      <c r="B322" s="3" t="s">
        <v>383</v>
      </c>
      <c r="C322" s="618" t="s">
        <v>384</v>
      </c>
      <c r="D322" s="608"/>
      <c r="E322" s="3" t="s">
        <v>125</v>
      </c>
      <c r="F322" s="21">
        <v>35.1</v>
      </c>
      <c r="G322" s="537"/>
      <c r="H322" s="21">
        <f>F322*AO322</f>
        <v>0</v>
      </c>
      <c r="I322" s="21">
        <f>F322*AP322</f>
        <v>0</v>
      </c>
      <c r="J322" s="21">
        <f>F322*G322</f>
        <v>0</v>
      </c>
      <c r="K322" s="21">
        <v>0</v>
      </c>
      <c r="L322" s="21">
        <f>F322*K322</f>
        <v>0</v>
      </c>
      <c r="M322" s="22" t="s">
        <v>55</v>
      </c>
      <c r="N322" s="2"/>
      <c r="Z322" s="21">
        <f>IF(AQ322="5",BJ322,0)</f>
        <v>0</v>
      </c>
      <c r="AB322" s="21">
        <f>IF(AQ322="1",BH322,0)</f>
        <v>0</v>
      </c>
      <c r="AC322" s="21">
        <f>IF(AQ322="1",BI322,0)</f>
        <v>0</v>
      </c>
      <c r="AD322" s="21">
        <f>IF(AQ322="7",BH322,0)</f>
        <v>0</v>
      </c>
      <c r="AE322" s="21">
        <f>IF(AQ322="7",BI322,0)</f>
        <v>0</v>
      </c>
      <c r="AF322" s="21">
        <f>IF(AQ322="2",BH322,0)</f>
        <v>0</v>
      </c>
      <c r="AG322" s="21">
        <f>IF(AQ322="2",BI322,0)</f>
        <v>0</v>
      </c>
      <c r="AH322" s="21">
        <f>IF(AQ322="0",BJ322,0)</f>
        <v>0</v>
      </c>
      <c r="AI322" s="10"/>
      <c r="AJ322" s="21">
        <f>IF(AN322=0,J322,0)</f>
        <v>0</v>
      </c>
      <c r="AK322" s="21">
        <f>IF(AN322=15,J322,0)</f>
        <v>0</v>
      </c>
      <c r="AL322" s="21">
        <f>IF(AN322=21,J322,0)</f>
        <v>0</v>
      </c>
      <c r="AN322" s="21">
        <v>21</v>
      </c>
      <c r="AO322" s="21">
        <f>G322*0</f>
        <v>0</v>
      </c>
      <c r="AP322" s="21">
        <f>G322*(1-0)</f>
        <v>0</v>
      </c>
      <c r="AQ322" s="23" t="s">
        <v>78</v>
      </c>
      <c r="AV322" s="21">
        <f>AW322+AX322</f>
        <v>0</v>
      </c>
      <c r="AW322" s="21">
        <f>F322*AO322</f>
        <v>0</v>
      </c>
      <c r="AX322" s="21">
        <f>F322*AP322</f>
        <v>0</v>
      </c>
      <c r="AY322" s="23" t="s">
        <v>380</v>
      </c>
      <c r="AZ322" s="23" t="s">
        <v>300</v>
      </c>
      <c r="BA322" s="10" t="s">
        <v>58</v>
      </c>
      <c r="BC322" s="21">
        <f>AW322+AX322</f>
        <v>0</v>
      </c>
      <c r="BD322" s="21">
        <f>G322/(100-BE322)*100</f>
        <v>0</v>
      </c>
      <c r="BE322" s="21">
        <v>0</v>
      </c>
      <c r="BF322" s="21">
        <f>L322</f>
        <v>0</v>
      </c>
      <c r="BH322" s="21">
        <f>F322*AO322</f>
        <v>0</v>
      </c>
      <c r="BI322" s="21">
        <f>F322*AP322</f>
        <v>0</v>
      </c>
      <c r="BJ322" s="21">
        <f>F322*G322</f>
        <v>0</v>
      </c>
      <c r="BK322" s="21" t="s">
        <v>59</v>
      </c>
      <c r="BL322" s="21" t="s">
        <v>375</v>
      </c>
    </row>
    <row r="323" spans="1:64" ht="15">
      <c r="A323" s="20" t="s">
        <v>663</v>
      </c>
      <c r="B323" s="3" t="s">
        <v>386</v>
      </c>
      <c r="C323" s="618" t="s">
        <v>387</v>
      </c>
      <c r="D323" s="608"/>
      <c r="E323" s="3" t="s">
        <v>125</v>
      </c>
      <c r="F323" s="21">
        <v>43.78</v>
      </c>
      <c r="G323" s="537"/>
      <c r="H323" s="21">
        <f>F323*AO323</f>
        <v>0</v>
      </c>
      <c r="I323" s="21">
        <f>F323*AP323</f>
        <v>0</v>
      </c>
      <c r="J323" s="21">
        <f>F323*G323</f>
        <v>0</v>
      </c>
      <c r="K323" s="21">
        <v>0</v>
      </c>
      <c r="L323" s="21">
        <f>F323*K323</f>
        <v>0</v>
      </c>
      <c r="M323" s="539" t="s">
        <v>2130</v>
      </c>
      <c r="N323" s="2"/>
      <c r="Z323" s="21">
        <f>IF(AQ323="5",BJ323,0)</f>
        <v>0</v>
      </c>
      <c r="AB323" s="21">
        <f>IF(AQ323="1",BH323,0)</f>
        <v>0</v>
      </c>
      <c r="AC323" s="21">
        <f>IF(AQ323="1",BI323,0)</f>
        <v>0</v>
      </c>
      <c r="AD323" s="21">
        <f>IF(AQ323="7",BH323,0)</f>
        <v>0</v>
      </c>
      <c r="AE323" s="21">
        <f>IF(AQ323="7",BI323,0)</f>
        <v>0</v>
      </c>
      <c r="AF323" s="21">
        <f>IF(AQ323="2",BH323,0)</f>
        <v>0</v>
      </c>
      <c r="AG323" s="21">
        <f>IF(AQ323="2",BI323,0)</f>
        <v>0</v>
      </c>
      <c r="AH323" s="21">
        <f>IF(AQ323="0",BJ323,0)</f>
        <v>0</v>
      </c>
      <c r="AI323" s="10"/>
      <c r="AJ323" s="21">
        <f>IF(AN323=0,J323,0)</f>
        <v>0</v>
      </c>
      <c r="AK323" s="21">
        <f>IF(AN323=15,J323,0)</f>
        <v>0</v>
      </c>
      <c r="AL323" s="21">
        <f>IF(AN323=21,J323,0)</f>
        <v>0</v>
      </c>
      <c r="AN323" s="21">
        <v>21</v>
      </c>
      <c r="AO323" s="21">
        <f>G323*0</f>
        <v>0</v>
      </c>
      <c r="AP323" s="21">
        <f>G323*(1-0)</f>
        <v>0</v>
      </c>
      <c r="AQ323" s="23" t="s">
        <v>78</v>
      </c>
      <c r="AV323" s="21">
        <f>AW323+AX323</f>
        <v>0</v>
      </c>
      <c r="AW323" s="21">
        <f>F323*AO323</f>
        <v>0</v>
      </c>
      <c r="AX323" s="21">
        <f>F323*AP323</f>
        <v>0</v>
      </c>
      <c r="AY323" s="23" t="s">
        <v>380</v>
      </c>
      <c r="AZ323" s="23" t="s">
        <v>300</v>
      </c>
      <c r="BA323" s="10" t="s">
        <v>58</v>
      </c>
      <c r="BC323" s="21">
        <f>AW323+AX323</f>
        <v>0</v>
      </c>
      <c r="BD323" s="21">
        <f>G323/(100-BE323)*100</f>
        <v>0</v>
      </c>
      <c r="BE323" s="21">
        <v>0</v>
      </c>
      <c r="BF323" s="21">
        <f>L323</f>
        <v>0</v>
      </c>
      <c r="BH323" s="21">
        <f>F323*AO323</f>
        <v>0</v>
      </c>
      <c r="BI323" s="21">
        <f>F323*AP323</f>
        <v>0</v>
      </c>
      <c r="BJ323" s="21">
        <f>F323*G323</f>
        <v>0</v>
      </c>
      <c r="BK323" s="21" t="s">
        <v>59</v>
      </c>
      <c r="BL323" s="21" t="s">
        <v>375</v>
      </c>
    </row>
    <row r="324" spans="1:64" ht="15">
      <c r="A324" s="20" t="s">
        <v>804</v>
      </c>
      <c r="B324" s="3" t="s">
        <v>389</v>
      </c>
      <c r="C324" s="618" t="s">
        <v>390</v>
      </c>
      <c r="D324" s="608"/>
      <c r="E324" s="3" t="s">
        <v>125</v>
      </c>
      <c r="F324" s="21">
        <v>103.18</v>
      </c>
      <c r="G324" s="537"/>
      <c r="H324" s="21">
        <f>F324*AO324</f>
        <v>0</v>
      </c>
      <c r="I324" s="21">
        <f>F324*AP324</f>
        <v>0</v>
      </c>
      <c r="J324" s="21">
        <f>F324*G324</f>
        <v>0</v>
      </c>
      <c r="K324" s="21">
        <v>0</v>
      </c>
      <c r="L324" s="21">
        <f>F324*K324</f>
        <v>0</v>
      </c>
      <c r="M324" s="539" t="s">
        <v>2130</v>
      </c>
      <c r="N324" s="2"/>
      <c r="Z324" s="21">
        <f>IF(AQ324="5",BJ324,0)</f>
        <v>0</v>
      </c>
      <c r="AB324" s="21">
        <f>IF(AQ324="1",BH324,0)</f>
        <v>0</v>
      </c>
      <c r="AC324" s="21">
        <f>IF(AQ324="1",BI324,0)</f>
        <v>0</v>
      </c>
      <c r="AD324" s="21">
        <f>IF(AQ324="7",BH324,0)</f>
        <v>0</v>
      </c>
      <c r="AE324" s="21">
        <f>IF(AQ324="7",BI324,0)</f>
        <v>0</v>
      </c>
      <c r="AF324" s="21">
        <f>IF(AQ324="2",BH324,0)</f>
        <v>0</v>
      </c>
      <c r="AG324" s="21">
        <f>IF(AQ324="2",BI324,0)</f>
        <v>0</v>
      </c>
      <c r="AH324" s="21">
        <f>IF(AQ324="0",BJ324,0)</f>
        <v>0</v>
      </c>
      <c r="AI324" s="10"/>
      <c r="AJ324" s="21">
        <f>IF(AN324=0,J324,0)</f>
        <v>0</v>
      </c>
      <c r="AK324" s="21">
        <f>IF(AN324=15,J324,0)</f>
        <v>0</v>
      </c>
      <c r="AL324" s="21">
        <f>IF(AN324=21,J324,0)</f>
        <v>0</v>
      </c>
      <c r="AN324" s="21">
        <v>21</v>
      </c>
      <c r="AO324" s="21">
        <f>G324*0</f>
        <v>0</v>
      </c>
      <c r="AP324" s="21">
        <f>G324*(1-0)</f>
        <v>0</v>
      </c>
      <c r="AQ324" s="23" t="s">
        <v>78</v>
      </c>
      <c r="AV324" s="21">
        <f>AW324+AX324</f>
        <v>0</v>
      </c>
      <c r="AW324" s="21">
        <f>F324*AO324</f>
        <v>0</v>
      </c>
      <c r="AX324" s="21">
        <f>F324*AP324</f>
        <v>0</v>
      </c>
      <c r="AY324" s="23" t="s">
        <v>380</v>
      </c>
      <c r="AZ324" s="23" t="s">
        <v>300</v>
      </c>
      <c r="BA324" s="10" t="s">
        <v>58</v>
      </c>
      <c r="BC324" s="21">
        <f>AW324+AX324</f>
        <v>0</v>
      </c>
      <c r="BD324" s="21">
        <f>G324/(100-BE324)*100</f>
        <v>0</v>
      </c>
      <c r="BE324" s="21">
        <v>0</v>
      </c>
      <c r="BF324" s="21">
        <f>L324</f>
        <v>0</v>
      </c>
      <c r="BH324" s="21">
        <f>F324*AO324</f>
        <v>0</v>
      </c>
      <c r="BI324" s="21">
        <f>F324*AP324</f>
        <v>0</v>
      </c>
      <c r="BJ324" s="21">
        <f>F324*G324</f>
        <v>0</v>
      </c>
      <c r="BK324" s="21" t="s">
        <v>59</v>
      </c>
      <c r="BL324" s="21" t="s">
        <v>375</v>
      </c>
    </row>
    <row r="325" spans="1:64" ht="15">
      <c r="A325" s="20" t="s">
        <v>805</v>
      </c>
      <c r="B325" s="3" t="s">
        <v>392</v>
      </c>
      <c r="C325" s="618" t="s">
        <v>393</v>
      </c>
      <c r="D325" s="608"/>
      <c r="E325" s="3" t="s">
        <v>125</v>
      </c>
      <c r="F325" s="21">
        <v>70.875</v>
      </c>
      <c r="G325" s="537"/>
      <c r="H325" s="21">
        <f>F325*AO325</f>
        <v>0</v>
      </c>
      <c r="I325" s="21">
        <f>F325*AP325</f>
        <v>0</v>
      </c>
      <c r="J325" s="21">
        <f>F325*G325</f>
        <v>0</v>
      </c>
      <c r="K325" s="21">
        <v>0</v>
      </c>
      <c r="L325" s="21">
        <f>F325*K325</f>
        <v>0</v>
      </c>
      <c r="M325" s="539" t="s">
        <v>2130</v>
      </c>
      <c r="N325" s="2"/>
      <c r="Z325" s="21">
        <f>IF(AQ325="5",BJ325,0)</f>
        <v>0</v>
      </c>
      <c r="AB325" s="21">
        <f>IF(AQ325="1",BH325,0)</f>
        <v>0</v>
      </c>
      <c r="AC325" s="21">
        <f>IF(AQ325="1",BI325,0)</f>
        <v>0</v>
      </c>
      <c r="AD325" s="21">
        <f>IF(AQ325="7",BH325,0)</f>
        <v>0</v>
      </c>
      <c r="AE325" s="21">
        <f>IF(AQ325="7",BI325,0)</f>
        <v>0</v>
      </c>
      <c r="AF325" s="21">
        <f>IF(AQ325="2",BH325,0)</f>
        <v>0</v>
      </c>
      <c r="AG325" s="21">
        <f>IF(AQ325="2",BI325,0)</f>
        <v>0</v>
      </c>
      <c r="AH325" s="21">
        <f>IF(AQ325="0",BJ325,0)</f>
        <v>0</v>
      </c>
      <c r="AI325" s="10"/>
      <c r="AJ325" s="21">
        <f>IF(AN325=0,J325,0)</f>
        <v>0</v>
      </c>
      <c r="AK325" s="21">
        <f>IF(AN325=15,J325,0)</f>
        <v>0</v>
      </c>
      <c r="AL325" s="21">
        <f>IF(AN325=21,J325,0)</f>
        <v>0</v>
      </c>
      <c r="AN325" s="21">
        <v>21</v>
      </c>
      <c r="AO325" s="21">
        <f>G325*0</f>
        <v>0</v>
      </c>
      <c r="AP325" s="21">
        <f>G325*(1-0)</f>
        <v>0</v>
      </c>
      <c r="AQ325" s="23" t="s">
        <v>78</v>
      </c>
      <c r="AV325" s="21">
        <f>AW325+AX325</f>
        <v>0</v>
      </c>
      <c r="AW325" s="21">
        <f>F325*AO325</f>
        <v>0</v>
      </c>
      <c r="AX325" s="21">
        <f>F325*AP325</f>
        <v>0</v>
      </c>
      <c r="AY325" s="23" t="s">
        <v>380</v>
      </c>
      <c r="AZ325" s="23" t="s">
        <v>300</v>
      </c>
      <c r="BA325" s="10" t="s">
        <v>58</v>
      </c>
      <c r="BC325" s="21">
        <f>AW325+AX325</f>
        <v>0</v>
      </c>
      <c r="BD325" s="21">
        <f>G325/(100-BE325)*100</f>
        <v>0</v>
      </c>
      <c r="BE325" s="21">
        <v>0</v>
      </c>
      <c r="BF325" s="21">
        <f>L325</f>
        <v>0</v>
      </c>
      <c r="BH325" s="21">
        <f>F325*AO325</f>
        <v>0</v>
      </c>
      <c r="BI325" s="21">
        <f>F325*AP325</f>
        <v>0</v>
      </c>
      <c r="BJ325" s="21">
        <f>F325*G325</f>
        <v>0</v>
      </c>
      <c r="BK325" s="21" t="s">
        <v>59</v>
      </c>
      <c r="BL325" s="21" t="s">
        <v>375</v>
      </c>
    </row>
    <row r="326" spans="1:64" ht="15">
      <c r="A326" s="28" t="s">
        <v>528</v>
      </c>
      <c r="B326" s="29" t="s">
        <v>806</v>
      </c>
      <c r="C326" s="642" t="s">
        <v>807</v>
      </c>
      <c r="D326" s="643"/>
      <c r="E326" s="29" t="s">
        <v>125</v>
      </c>
      <c r="F326" s="30">
        <v>969.21686</v>
      </c>
      <c r="G326" s="538"/>
      <c r="H326" s="30">
        <f>F326*AO326</f>
        <v>0</v>
      </c>
      <c r="I326" s="30">
        <f>F326*AP326</f>
        <v>0</v>
      </c>
      <c r="J326" s="30">
        <f>F326*G326</f>
        <v>0</v>
      </c>
      <c r="K326" s="30">
        <v>0</v>
      </c>
      <c r="L326" s="30">
        <f>F326*K326</f>
        <v>0</v>
      </c>
      <c r="M326" s="31" t="s">
        <v>55</v>
      </c>
      <c r="N326" s="2"/>
      <c r="Z326" s="21">
        <f>IF(AQ326="5",BJ326,0)</f>
        <v>0</v>
      </c>
      <c r="AB326" s="21">
        <f>IF(AQ326="1",BH326,0)</f>
        <v>0</v>
      </c>
      <c r="AC326" s="21">
        <f>IF(AQ326="1",BI326,0)</f>
        <v>0</v>
      </c>
      <c r="AD326" s="21">
        <f>IF(AQ326="7",BH326,0)</f>
        <v>0</v>
      </c>
      <c r="AE326" s="21">
        <f>IF(AQ326="7",BI326,0)</f>
        <v>0</v>
      </c>
      <c r="AF326" s="21">
        <f>IF(AQ326="2",BH326,0)</f>
        <v>0</v>
      </c>
      <c r="AG326" s="21">
        <f>IF(AQ326="2",BI326,0)</f>
        <v>0</v>
      </c>
      <c r="AH326" s="21">
        <f>IF(AQ326="0",BJ326,0)</f>
        <v>0</v>
      </c>
      <c r="AI326" s="10"/>
      <c r="AJ326" s="21">
        <f>IF(AN326=0,J326,0)</f>
        <v>0</v>
      </c>
      <c r="AK326" s="21">
        <f>IF(AN326=15,J326,0)</f>
        <v>0</v>
      </c>
      <c r="AL326" s="21">
        <f>IF(AN326=21,J326,0)</f>
        <v>0</v>
      </c>
      <c r="AN326" s="21">
        <v>21</v>
      </c>
      <c r="AO326" s="21">
        <f>G326*0</f>
        <v>0</v>
      </c>
      <c r="AP326" s="21">
        <f>G326*(1-0)</f>
        <v>0</v>
      </c>
      <c r="AQ326" s="23" t="s">
        <v>78</v>
      </c>
      <c r="AV326" s="21">
        <f>AW326+AX326</f>
        <v>0</v>
      </c>
      <c r="AW326" s="21">
        <f>F326*AO326</f>
        <v>0</v>
      </c>
      <c r="AX326" s="21">
        <f>F326*AP326</f>
        <v>0</v>
      </c>
      <c r="AY326" s="23" t="s">
        <v>380</v>
      </c>
      <c r="AZ326" s="23" t="s">
        <v>300</v>
      </c>
      <c r="BA326" s="10" t="s">
        <v>58</v>
      </c>
      <c r="BC326" s="21">
        <f>AW326+AX326</f>
        <v>0</v>
      </c>
      <c r="BD326" s="21">
        <f>G326/(100-BE326)*100</f>
        <v>0</v>
      </c>
      <c r="BE326" s="21">
        <v>0</v>
      </c>
      <c r="BF326" s="21">
        <f>L326</f>
        <v>0</v>
      </c>
      <c r="BH326" s="21">
        <f>F326*AO326</f>
        <v>0</v>
      </c>
      <c r="BI326" s="21">
        <f>F326*AP326</f>
        <v>0</v>
      </c>
      <c r="BJ326" s="21">
        <f>F326*G326</f>
        <v>0</v>
      </c>
      <c r="BK326" s="21" t="s">
        <v>59</v>
      </c>
      <c r="BL326" s="21" t="s">
        <v>375</v>
      </c>
    </row>
    <row r="327" spans="1:13" ht="15">
      <c r="A327" s="32"/>
      <c r="B327" s="32"/>
      <c r="C327" s="32"/>
      <c r="D327" s="32"/>
      <c r="E327" s="32"/>
      <c r="F327" s="32"/>
      <c r="G327" s="32"/>
      <c r="H327" s="644" t="s">
        <v>397</v>
      </c>
      <c r="I327" s="610"/>
      <c r="J327" s="33">
        <f>J12+J41+J50+J53+J60+J64+J67+J78+J95+J104+J109+J216+J223+J226+J308+J319</f>
        <v>0</v>
      </c>
      <c r="K327" s="32"/>
      <c r="L327" s="32"/>
      <c r="M327" s="32"/>
    </row>
    <row r="328" ht="11.25" customHeight="1">
      <c r="A328" s="34" t="s">
        <v>398</v>
      </c>
    </row>
    <row r="329" spans="1:13" ht="15">
      <c r="A329" s="617"/>
      <c r="B329" s="608"/>
      <c r="C329" s="608"/>
      <c r="D329" s="608"/>
      <c r="E329" s="608"/>
      <c r="F329" s="608"/>
      <c r="G329" s="608"/>
      <c r="H329" s="608"/>
      <c r="I329" s="608"/>
      <c r="J329" s="608"/>
      <c r="K329" s="608"/>
      <c r="L329" s="608"/>
      <c r="M329" s="608"/>
    </row>
  </sheetData>
  <sheetProtection algorithmName="SHA-512" hashValue="eX6nD1Fl+NJLeXhN1KXci6MXGMUGLvruhaJ2kHWSOclX5CLjjrWSmwYWirOPKGk7uTjCnqlIqlBO4PtvxeFUQw==" saltValue="VmPuauuJvakQFzc7Vqp9Ag==" spinCount="100000" sheet="1" objects="1" scenarios="1"/>
  <mergeCells count="221">
    <mergeCell ref="C325:D325"/>
    <mergeCell ref="C326:D326"/>
    <mergeCell ref="H327:I327"/>
    <mergeCell ref="A329:M329"/>
    <mergeCell ref="C319:D319"/>
    <mergeCell ref="C320:D320"/>
    <mergeCell ref="C321:M321"/>
    <mergeCell ref="C322:D322"/>
    <mergeCell ref="C323:D323"/>
    <mergeCell ref="C324:D324"/>
    <mergeCell ref="C309:D309"/>
    <mergeCell ref="C311:M311"/>
    <mergeCell ref="C312:D312"/>
    <mergeCell ref="C314:M314"/>
    <mergeCell ref="C315:D315"/>
    <mergeCell ref="C317:D317"/>
    <mergeCell ref="C299:D299"/>
    <mergeCell ref="C301:D301"/>
    <mergeCell ref="C303:D303"/>
    <mergeCell ref="C304:M304"/>
    <mergeCell ref="C306:D306"/>
    <mergeCell ref="C308:D308"/>
    <mergeCell ref="C288:M288"/>
    <mergeCell ref="C289:D289"/>
    <mergeCell ref="C291:D291"/>
    <mergeCell ref="C293:D293"/>
    <mergeCell ref="C295:D295"/>
    <mergeCell ref="C297:D297"/>
    <mergeCell ref="C279:M279"/>
    <mergeCell ref="C280:D280"/>
    <mergeCell ref="C282:M282"/>
    <mergeCell ref="C283:D283"/>
    <mergeCell ref="C285:M285"/>
    <mergeCell ref="C286:D286"/>
    <mergeCell ref="C266:M266"/>
    <mergeCell ref="C268:D268"/>
    <mergeCell ref="C269:M269"/>
    <mergeCell ref="C274:D274"/>
    <mergeCell ref="C276:M276"/>
    <mergeCell ref="C277:D277"/>
    <mergeCell ref="C257:M257"/>
    <mergeCell ref="C258:D258"/>
    <mergeCell ref="C260:M260"/>
    <mergeCell ref="C261:D261"/>
    <mergeCell ref="C264:M264"/>
    <mergeCell ref="C265:D265"/>
    <mergeCell ref="C247:D247"/>
    <mergeCell ref="C250:M250"/>
    <mergeCell ref="C251:D251"/>
    <mergeCell ref="C252:M252"/>
    <mergeCell ref="C254:M254"/>
    <mergeCell ref="C255:D255"/>
    <mergeCell ref="C237:M237"/>
    <mergeCell ref="C238:D238"/>
    <mergeCell ref="C241:D241"/>
    <mergeCell ref="C243:M243"/>
    <mergeCell ref="C244:D244"/>
    <mergeCell ref="C246:M246"/>
    <mergeCell ref="C226:D226"/>
    <mergeCell ref="C227:D227"/>
    <mergeCell ref="C229:M229"/>
    <mergeCell ref="C230:D230"/>
    <mergeCell ref="C233:M233"/>
    <mergeCell ref="C234:D234"/>
    <mergeCell ref="C217:D217"/>
    <mergeCell ref="C218:M218"/>
    <mergeCell ref="C220:M220"/>
    <mergeCell ref="C221:D221"/>
    <mergeCell ref="C223:D223"/>
    <mergeCell ref="C224:D224"/>
    <mergeCell ref="C207:D207"/>
    <mergeCell ref="C209:D209"/>
    <mergeCell ref="C211:M211"/>
    <mergeCell ref="C212:D212"/>
    <mergeCell ref="C214:D214"/>
    <mergeCell ref="C216:D216"/>
    <mergeCell ref="C198:D198"/>
    <mergeCell ref="C200:M200"/>
    <mergeCell ref="C201:D201"/>
    <mergeCell ref="C203:M203"/>
    <mergeCell ref="C204:D204"/>
    <mergeCell ref="C206:M206"/>
    <mergeCell ref="C187:D187"/>
    <mergeCell ref="C189:D189"/>
    <mergeCell ref="C191:D191"/>
    <mergeCell ref="C193:M193"/>
    <mergeCell ref="C194:D194"/>
    <mergeCell ref="C196:D196"/>
    <mergeCell ref="C178:M178"/>
    <mergeCell ref="C179:D179"/>
    <mergeCell ref="C181:M181"/>
    <mergeCell ref="C182:D182"/>
    <mergeCell ref="C184:D184"/>
    <mergeCell ref="C186:M186"/>
    <mergeCell ref="C167:M167"/>
    <mergeCell ref="C168:D168"/>
    <mergeCell ref="C171:M171"/>
    <mergeCell ref="C172:D172"/>
    <mergeCell ref="C175:M175"/>
    <mergeCell ref="C176:D176"/>
    <mergeCell ref="C156:M156"/>
    <mergeCell ref="C157:D157"/>
    <mergeCell ref="C159:M159"/>
    <mergeCell ref="C160:D160"/>
    <mergeCell ref="C163:M163"/>
    <mergeCell ref="C164:D164"/>
    <mergeCell ref="C146:D146"/>
    <mergeCell ref="C148:M148"/>
    <mergeCell ref="C149:D149"/>
    <mergeCell ref="C151:M151"/>
    <mergeCell ref="C152:D152"/>
    <mergeCell ref="C154:D154"/>
    <mergeCell ref="C134:D134"/>
    <mergeCell ref="C136:D136"/>
    <mergeCell ref="C138:M138"/>
    <mergeCell ref="C139:D139"/>
    <mergeCell ref="C142:M142"/>
    <mergeCell ref="C143:D143"/>
    <mergeCell ref="C124:D124"/>
    <mergeCell ref="C127:M127"/>
    <mergeCell ref="C128:D128"/>
    <mergeCell ref="C130:M130"/>
    <mergeCell ref="C131:D131"/>
    <mergeCell ref="C133:M133"/>
    <mergeCell ref="C110:D110"/>
    <mergeCell ref="C112:M112"/>
    <mergeCell ref="C113:D113"/>
    <mergeCell ref="C117:D117"/>
    <mergeCell ref="C120:D120"/>
    <mergeCell ref="C123:M123"/>
    <mergeCell ref="C101:D101"/>
    <mergeCell ref="C102:M102"/>
    <mergeCell ref="C104:D104"/>
    <mergeCell ref="C105:D105"/>
    <mergeCell ref="C107:D107"/>
    <mergeCell ref="C109:D109"/>
    <mergeCell ref="C92:D92"/>
    <mergeCell ref="C93:M93"/>
    <mergeCell ref="C95:D95"/>
    <mergeCell ref="C96:D96"/>
    <mergeCell ref="C98:D98"/>
    <mergeCell ref="C99:M99"/>
    <mergeCell ref="C82:D82"/>
    <mergeCell ref="C83:M83"/>
    <mergeCell ref="C85:D85"/>
    <mergeCell ref="C86:M86"/>
    <mergeCell ref="C88:D88"/>
    <mergeCell ref="C90:D90"/>
    <mergeCell ref="C72:D72"/>
    <mergeCell ref="C75:M75"/>
    <mergeCell ref="C76:D76"/>
    <mergeCell ref="C78:D78"/>
    <mergeCell ref="C79:D79"/>
    <mergeCell ref="C80:M80"/>
    <mergeCell ref="C63:M63"/>
    <mergeCell ref="C64:D64"/>
    <mergeCell ref="C65:D65"/>
    <mergeCell ref="C67:D67"/>
    <mergeCell ref="C68:D68"/>
    <mergeCell ref="C70:D70"/>
    <mergeCell ref="C54:D54"/>
    <mergeCell ref="C56:M56"/>
    <mergeCell ref="C57:D57"/>
    <mergeCell ref="C59:M59"/>
    <mergeCell ref="C60:D60"/>
    <mergeCell ref="C61:D61"/>
    <mergeCell ref="C45:D45"/>
    <mergeCell ref="C47:D47"/>
    <mergeCell ref="C49:M49"/>
    <mergeCell ref="C50:D50"/>
    <mergeCell ref="C51:D51"/>
    <mergeCell ref="C53:D53"/>
    <mergeCell ref="C35:D35"/>
    <mergeCell ref="C37:D37"/>
    <mergeCell ref="C39:D39"/>
    <mergeCell ref="C41:D41"/>
    <mergeCell ref="C42:D42"/>
    <mergeCell ref="C44:M44"/>
    <mergeCell ref="C24:D24"/>
    <mergeCell ref="C26:M26"/>
    <mergeCell ref="C27:D27"/>
    <mergeCell ref="C29:D29"/>
    <mergeCell ref="C32:D32"/>
    <mergeCell ref="C34:M34"/>
    <mergeCell ref="C15:D15"/>
    <mergeCell ref="C17:M17"/>
    <mergeCell ref="C18:D18"/>
    <mergeCell ref="C20:M20"/>
    <mergeCell ref="C21:D21"/>
    <mergeCell ref="C23:M23"/>
    <mergeCell ref="C10:D10"/>
    <mergeCell ref="H10:J10"/>
    <mergeCell ref="K10:L10"/>
    <mergeCell ref="C11:D11"/>
    <mergeCell ref="C12:D12"/>
    <mergeCell ref="C13:D13"/>
    <mergeCell ref="A8:B9"/>
    <mergeCell ref="C8:D9"/>
    <mergeCell ref="E8:F9"/>
    <mergeCell ref="G8:G9"/>
    <mergeCell ref="H8:H9"/>
    <mergeCell ref="I8:M9"/>
    <mergeCell ref="A1:M1"/>
    <mergeCell ref="A2:B3"/>
    <mergeCell ref="C2:D3"/>
    <mergeCell ref="E2:F3"/>
    <mergeCell ref="G2:G3"/>
    <mergeCell ref="H2:H3"/>
    <mergeCell ref="I2:M3"/>
    <mergeCell ref="A6:B7"/>
    <mergeCell ref="C6:D7"/>
    <mergeCell ref="E6:F7"/>
    <mergeCell ref="G6:G7"/>
    <mergeCell ref="H6:H7"/>
    <mergeCell ref="I6:M7"/>
    <mergeCell ref="A4:B5"/>
    <mergeCell ref="C4:D5"/>
    <mergeCell ref="E4:F5"/>
    <mergeCell ref="G4:G5"/>
    <mergeCell ref="H4:H5"/>
    <mergeCell ref="I4:M5"/>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63" r:id="rId1"/>
  <headerFooter>
    <oddFooter>&amp;CStrana &amp;P z &amp;N</oddFooter>
  </headerFooter>
  <rowBreaks count="4" manualBreakCount="4">
    <brk id="46" max="16383" man="1"/>
    <brk id="156" max="16383" man="1"/>
    <brk id="208" max="16383" man="1"/>
    <brk id="3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3EA7-8830-4260-AE1E-1DE308CBA41F}">
  <dimension ref="A1:BL82"/>
  <sheetViews>
    <sheetView view="pageBreakPreview" zoomScale="115" zoomScaleSheetLayoutView="115" workbookViewId="0" topLeftCell="A49">
      <selection activeCell="C66" sqref="C66:D66"/>
    </sheetView>
  </sheetViews>
  <sheetFormatPr defaultColWidth="11.57421875" defaultRowHeight="15"/>
  <cols>
    <col min="1" max="1" width="3.7109375" style="1" customWidth="1"/>
    <col min="2" max="2" width="14.28125" style="1" customWidth="1"/>
    <col min="3" max="3" width="17.7109375" style="1" customWidth="1"/>
    <col min="4" max="4" width="46.42187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17.7109375" style="1" customWidth="1"/>
    <col min="260" max="260" width="46.42187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17.7109375" style="1" customWidth="1"/>
    <col min="516" max="516" width="46.42187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17.7109375" style="1" customWidth="1"/>
    <col min="772" max="772" width="46.42187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17.7109375" style="1" customWidth="1"/>
    <col min="1028" max="1028" width="46.42187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17.7109375" style="1" customWidth="1"/>
    <col min="1284" max="1284" width="46.42187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17.7109375" style="1" customWidth="1"/>
    <col min="1540" max="1540" width="46.42187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17.7109375" style="1" customWidth="1"/>
    <col min="1796" max="1796" width="46.42187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17.7109375" style="1" customWidth="1"/>
    <col min="2052" max="2052" width="46.42187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17.7109375" style="1" customWidth="1"/>
    <col min="2308" max="2308" width="46.42187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17.7109375" style="1" customWidth="1"/>
    <col min="2564" max="2564" width="46.42187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17.7109375" style="1" customWidth="1"/>
    <col min="2820" max="2820" width="46.42187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17.7109375" style="1" customWidth="1"/>
    <col min="3076" max="3076" width="46.42187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17.7109375" style="1" customWidth="1"/>
    <col min="3332" max="3332" width="46.42187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17.7109375" style="1" customWidth="1"/>
    <col min="3588" max="3588" width="46.42187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17.7109375" style="1" customWidth="1"/>
    <col min="3844" max="3844" width="46.42187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17.7109375" style="1" customWidth="1"/>
    <col min="4100" max="4100" width="46.42187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17.7109375" style="1" customWidth="1"/>
    <col min="4356" max="4356" width="46.42187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17.7109375" style="1" customWidth="1"/>
    <col min="4612" max="4612" width="46.42187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17.7109375" style="1" customWidth="1"/>
    <col min="4868" max="4868" width="46.42187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17.7109375" style="1" customWidth="1"/>
    <col min="5124" max="5124" width="46.42187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17.7109375" style="1" customWidth="1"/>
    <col min="5380" max="5380" width="46.42187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17.7109375" style="1" customWidth="1"/>
    <col min="5636" max="5636" width="46.42187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17.7109375" style="1" customWidth="1"/>
    <col min="5892" max="5892" width="46.42187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17.7109375" style="1" customWidth="1"/>
    <col min="6148" max="6148" width="46.42187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17.7109375" style="1" customWidth="1"/>
    <col min="6404" max="6404" width="46.42187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17.7109375" style="1" customWidth="1"/>
    <col min="6660" max="6660" width="46.42187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17.7109375" style="1" customWidth="1"/>
    <col min="6916" max="6916" width="46.42187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17.7109375" style="1" customWidth="1"/>
    <col min="7172" max="7172" width="46.42187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17.7109375" style="1" customWidth="1"/>
    <col min="7428" max="7428" width="46.42187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17.7109375" style="1" customWidth="1"/>
    <col min="7684" max="7684" width="46.42187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17.7109375" style="1" customWidth="1"/>
    <col min="7940" max="7940" width="46.42187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17.7109375" style="1" customWidth="1"/>
    <col min="8196" max="8196" width="46.42187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17.7109375" style="1" customWidth="1"/>
    <col min="8452" max="8452" width="46.42187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17.7109375" style="1" customWidth="1"/>
    <col min="8708" max="8708" width="46.42187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17.7109375" style="1" customWidth="1"/>
    <col min="8964" max="8964" width="46.42187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17.7109375" style="1" customWidth="1"/>
    <col min="9220" max="9220" width="46.42187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17.7109375" style="1" customWidth="1"/>
    <col min="9476" max="9476" width="46.42187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17.7109375" style="1" customWidth="1"/>
    <col min="9732" max="9732" width="46.42187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17.7109375" style="1" customWidth="1"/>
    <col min="9988" max="9988" width="46.42187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17.7109375" style="1" customWidth="1"/>
    <col min="10244" max="10244" width="46.42187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17.7109375" style="1" customWidth="1"/>
    <col min="10500" max="10500" width="46.42187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17.7109375" style="1" customWidth="1"/>
    <col min="10756" max="10756" width="46.42187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17.7109375" style="1" customWidth="1"/>
    <col min="11012" max="11012" width="46.42187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17.7109375" style="1" customWidth="1"/>
    <col min="11268" max="11268" width="46.42187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17.7109375" style="1" customWidth="1"/>
    <col min="11524" max="11524" width="46.42187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17.7109375" style="1" customWidth="1"/>
    <col min="11780" max="11780" width="46.42187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17.7109375" style="1" customWidth="1"/>
    <col min="12036" max="12036" width="46.42187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17.7109375" style="1" customWidth="1"/>
    <col min="12292" max="12292" width="46.42187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17.7109375" style="1" customWidth="1"/>
    <col min="12548" max="12548" width="46.42187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17.7109375" style="1" customWidth="1"/>
    <col min="12804" max="12804" width="46.42187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17.7109375" style="1" customWidth="1"/>
    <col min="13060" max="13060" width="46.42187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17.7109375" style="1" customWidth="1"/>
    <col min="13316" max="13316" width="46.42187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17.7109375" style="1" customWidth="1"/>
    <col min="13572" max="13572" width="46.42187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17.7109375" style="1" customWidth="1"/>
    <col min="13828" max="13828" width="46.42187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17.7109375" style="1" customWidth="1"/>
    <col min="14084" max="14084" width="46.42187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17.7109375" style="1" customWidth="1"/>
    <col min="14340" max="14340" width="46.42187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17.7109375" style="1" customWidth="1"/>
    <col min="14596" max="14596" width="46.42187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17.7109375" style="1" customWidth="1"/>
    <col min="14852" max="14852" width="46.42187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17.7109375" style="1" customWidth="1"/>
    <col min="15108" max="15108" width="46.42187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17.7109375" style="1" customWidth="1"/>
    <col min="15364" max="15364" width="46.42187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17.7109375" style="1" customWidth="1"/>
    <col min="15620" max="15620" width="46.42187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17.7109375" style="1" customWidth="1"/>
    <col min="15876" max="15876" width="46.42187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17.7109375" style="1" customWidth="1"/>
    <col min="16132" max="16132" width="46.42187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808</v>
      </c>
      <c r="D2" s="610"/>
      <c r="E2" s="612" t="s">
        <v>3</v>
      </c>
      <c r="F2" s="606"/>
      <c r="G2" s="612" t="s">
        <v>4</v>
      </c>
      <c r="H2" s="613" t="s">
        <v>5</v>
      </c>
      <c r="I2" s="613" t="s">
        <v>6</v>
      </c>
      <c r="J2" s="606"/>
      <c r="K2" s="606"/>
      <c r="L2" s="606"/>
      <c r="M2" s="614"/>
      <c r="N2" s="2"/>
    </row>
    <row r="3" spans="1:14" ht="15">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76</v>
      </c>
      <c r="C12" s="629" t="s">
        <v>77</v>
      </c>
      <c r="D12" s="630"/>
      <c r="E12" s="37" t="s">
        <v>4</v>
      </c>
      <c r="F12" s="37" t="s">
        <v>4</v>
      </c>
      <c r="G12" s="37" t="s">
        <v>4</v>
      </c>
      <c r="H12" s="38">
        <f>SUM(H13:H16)</f>
        <v>0</v>
      </c>
      <c r="I12" s="38">
        <f>SUM(I13:I16)</f>
        <v>0</v>
      </c>
      <c r="J12" s="38">
        <f>SUM(J13:J16)</f>
        <v>0</v>
      </c>
      <c r="K12" s="39"/>
      <c r="L12" s="38">
        <f>SUM(L13:L16)</f>
        <v>0</v>
      </c>
      <c r="M12" s="40"/>
      <c r="N12" s="2"/>
      <c r="AI12" s="10"/>
      <c r="AS12" s="19">
        <f>SUM(AJ13:AJ16)</f>
        <v>0</v>
      </c>
      <c r="AT12" s="19">
        <f>SUM(AK13:AK16)</f>
        <v>0</v>
      </c>
      <c r="AU12" s="19">
        <f>SUM(AL13:AL16)</f>
        <v>0</v>
      </c>
    </row>
    <row r="13" spans="1:64" ht="15">
      <c r="A13" s="20" t="s">
        <v>51</v>
      </c>
      <c r="B13" s="3" t="s">
        <v>79</v>
      </c>
      <c r="C13" s="618" t="s">
        <v>80</v>
      </c>
      <c r="D13" s="608"/>
      <c r="E13" s="3" t="s">
        <v>81</v>
      </c>
      <c r="F13" s="21">
        <v>5.1</v>
      </c>
      <c r="G13" s="537"/>
      <c r="H13" s="21">
        <f>F13*AO13</f>
        <v>0</v>
      </c>
      <c r="I13" s="21">
        <f>F13*AP13</f>
        <v>0</v>
      </c>
      <c r="J13" s="21">
        <f>F13*G13</f>
        <v>0</v>
      </c>
      <c r="K13" s="21">
        <v>0</v>
      </c>
      <c r="L13" s="21">
        <f>F13*K13</f>
        <v>0</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82</v>
      </c>
      <c r="AZ13" s="23" t="s">
        <v>57</v>
      </c>
      <c r="BA13" s="10" t="s">
        <v>58</v>
      </c>
      <c r="BC13" s="21">
        <f>AW13+AX13</f>
        <v>0</v>
      </c>
      <c r="BD13" s="21">
        <f>G13/(100-BE13)*100</f>
        <v>0</v>
      </c>
      <c r="BE13" s="21">
        <v>0</v>
      </c>
      <c r="BF13" s="21">
        <f>L13</f>
        <v>0</v>
      </c>
      <c r="BH13" s="21">
        <f>F13*AO13</f>
        <v>0</v>
      </c>
      <c r="BI13" s="21">
        <f>F13*AP13</f>
        <v>0</v>
      </c>
      <c r="BJ13" s="21">
        <f>F13*G13</f>
        <v>0</v>
      </c>
      <c r="BK13" s="21" t="s">
        <v>59</v>
      </c>
      <c r="BL13" s="21">
        <v>12</v>
      </c>
    </row>
    <row r="14" spans="1:14" ht="15">
      <c r="A14" s="2"/>
      <c r="C14" s="24" t="s">
        <v>809</v>
      </c>
      <c r="D14" s="24"/>
      <c r="F14" s="25">
        <v>5.1</v>
      </c>
      <c r="M14" s="26"/>
      <c r="N14" s="2"/>
    </row>
    <row r="15" spans="1:14" ht="15">
      <c r="A15" s="2"/>
      <c r="B15" s="27" t="s">
        <v>61</v>
      </c>
      <c r="C15" s="634" t="s">
        <v>84</v>
      </c>
      <c r="D15" s="635"/>
      <c r="E15" s="635"/>
      <c r="F15" s="635"/>
      <c r="G15" s="635"/>
      <c r="H15" s="635"/>
      <c r="I15" s="635"/>
      <c r="J15" s="635"/>
      <c r="K15" s="635"/>
      <c r="L15" s="635"/>
      <c r="M15" s="636"/>
      <c r="N15" s="2"/>
    </row>
    <row r="16" spans="1:64" ht="15">
      <c r="A16" s="20" t="s">
        <v>63</v>
      </c>
      <c r="B16" s="3" t="s">
        <v>447</v>
      </c>
      <c r="C16" s="618" t="s">
        <v>448</v>
      </c>
      <c r="D16" s="608"/>
      <c r="E16" s="3" t="s">
        <v>81</v>
      </c>
      <c r="F16" s="21">
        <v>2</v>
      </c>
      <c r="G16" s="537"/>
      <c r="H16" s="21">
        <f>F16*AO16</f>
        <v>0</v>
      </c>
      <c r="I16" s="21">
        <f>F16*AP16</f>
        <v>0</v>
      </c>
      <c r="J16" s="21">
        <f>F16*G16</f>
        <v>0</v>
      </c>
      <c r="K16" s="21">
        <v>0</v>
      </c>
      <c r="L16" s="21">
        <f>F16*K16</f>
        <v>0</v>
      </c>
      <c r="M16" s="22" t="s">
        <v>55</v>
      </c>
      <c r="N16" s="2"/>
      <c r="Z16" s="21">
        <f>IF(AQ16="5",BJ16,0)</f>
        <v>0</v>
      </c>
      <c r="AB16" s="21">
        <f>IF(AQ16="1",BH16,0)</f>
        <v>0</v>
      </c>
      <c r="AC16" s="21">
        <f>IF(AQ16="1",BI16,0)</f>
        <v>0</v>
      </c>
      <c r="AD16" s="21">
        <f>IF(AQ16="7",BH16,0)</f>
        <v>0</v>
      </c>
      <c r="AE16" s="21">
        <f>IF(AQ16="7",BI16,0)</f>
        <v>0</v>
      </c>
      <c r="AF16" s="21">
        <f>IF(AQ16="2",BH16,0)</f>
        <v>0</v>
      </c>
      <c r="AG16" s="21">
        <f>IF(AQ16="2",BI16,0)</f>
        <v>0</v>
      </c>
      <c r="AH16" s="21">
        <f>IF(AQ16="0",BJ16,0)</f>
        <v>0</v>
      </c>
      <c r="AI16" s="10"/>
      <c r="AJ16" s="21">
        <f>IF(AN16=0,J16,0)</f>
        <v>0</v>
      </c>
      <c r="AK16" s="21">
        <f>IF(AN16=15,J16,0)</f>
        <v>0</v>
      </c>
      <c r="AL16" s="21">
        <f>IF(AN16=21,J16,0)</f>
        <v>0</v>
      </c>
      <c r="AN16" s="21">
        <v>21</v>
      </c>
      <c r="AO16" s="21">
        <f>G16*0</f>
        <v>0</v>
      </c>
      <c r="AP16" s="21">
        <f>G16*(1-0)</f>
        <v>0</v>
      </c>
      <c r="AQ16" s="23" t="s">
        <v>51</v>
      </c>
      <c r="AV16" s="21">
        <f>AW16+AX16</f>
        <v>0</v>
      </c>
      <c r="AW16" s="21">
        <f>F16*AO16</f>
        <v>0</v>
      </c>
      <c r="AX16" s="21">
        <f>F16*AP16</f>
        <v>0</v>
      </c>
      <c r="AY16" s="23" t="s">
        <v>82</v>
      </c>
      <c r="AZ16" s="23" t="s">
        <v>57</v>
      </c>
      <c r="BA16" s="10" t="s">
        <v>58</v>
      </c>
      <c r="BC16" s="21">
        <f>AW16+AX16</f>
        <v>0</v>
      </c>
      <c r="BD16" s="21">
        <f>G16/(100-BE16)*100</f>
        <v>0</v>
      </c>
      <c r="BE16" s="21">
        <v>0</v>
      </c>
      <c r="BF16" s="21">
        <f>L16</f>
        <v>0</v>
      </c>
      <c r="BH16" s="21">
        <f>F16*AO16</f>
        <v>0</v>
      </c>
      <c r="BI16" s="21">
        <f>F16*AP16</f>
        <v>0</v>
      </c>
      <c r="BJ16" s="21">
        <f>F16*G16</f>
        <v>0</v>
      </c>
      <c r="BK16" s="21" t="s">
        <v>59</v>
      </c>
      <c r="BL16" s="21">
        <v>12</v>
      </c>
    </row>
    <row r="17" spans="1:14" ht="15">
      <c r="A17" s="2"/>
      <c r="C17" s="24" t="s">
        <v>63</v>
      </c>
      <c r="D17" s="24" t="s">
        <v>810</v>
      </c>
      <c r="F17" s="25">
        <v>2</v>
      </c>
      <c r="M17" s="26"/>
      <c r="N17" s="2"/>
    </row>
    <row r="18" spans="1:14" ht="15">
      <c r="A18" s="2"/>
      <c r="B18" s="27" t="s">
        <v>61</v>
      </c>
      <c r="C18" s="634" t="s">
        <v>450</v>
      </c>
      <c r="D18" s="635"/>
      <c r="E18" s="635"/>
      <c r="F18" s="635"/>
      <c r="G18" s="635"/>
      <c r="H18" s="635"/>
      <c r="I18" s="635"/>
      <c r="J18" s="635"/>
      <c r="K18" s="635"/>
      <c r="L18" s="635"/>
      <c r="M18" s="636"/>
      <c r="N18" s="2"/>
    </row>
    <row r="19" spans="1:47" ht="15">
      <c r="A19" s="41"/>
      <c r="B19" s="42" t="s">
        <v>92</v>
      </c>
      <c r="C19" s="637" t="s">
        <v>93</v>
      </c>
      <c r="D19" s="638"/>
      <c r="E19" s="43" t="s">
        <v>4</v>
      </c>
      <c r="F19" s="43" t="s">
        <v>4</v>
      </c>
      <c r="G19" s="43" t="s">
        <v>4</v>
      </c>
      <c r="H19" s="44">
        <f>SUM(H20:H20)</f>
        <v>0</v>
      </c>
      <c r="I19" s="44">
        <f>SUM(I20:I20)</f>
        <v>0</v>
      </c>
      <c r="J19" s="44">
        <f>SUM(J20:J20)</f>
        <v>0</v>
      </c>
      <c r="K19" s="45"/>
      <c r="L19" s="44">
        <f>SUM(L20:L20)</f>
        <v>0</v>
      </c>
      <c r="M19" s="46"/>
      <c r="N19" s="2"/>
      <c r="AI19" s="10"/>
      <c r="AS19" s="19">
        <f>SUM(AJ20:AJ20)</f>
        <v>0</v>
      </c>
      <c r="AT19" s="19">
        <f>SUM(AK20:AK20)</f>
        <v>0</v>
      </c>
      <c r="AU19" s="19">
        <f>SUM(AL20:AL20)</f>
        <v>0</v>
      </c>
    </row>
    <row r="20" spans="1:64" ht="15">
      <c r="A20" s="20" t="s">
        <v>67</v>
      </c>
      <c r="B20" s="3" t="s">
        <v>95</v>
      </c>
      <c r="C20" s="618" t="s">
        <v>96</v>
      </c>
      <c r="D20" s="608"/>
      <c r="E20" s="3" t="s">
        <v>81</v>
      </c>
      <c r="F20" s="21">
        <v>5.1</v>
      </c>
      <c r="G20" s="537"/>
      <c r="H20" s="21">
        <f>F20*AO20</f>
        <v>0</v>
      </c>
      <c r="I20" s="21">
        <f>F20*AP20</f>
        <v>0</v>
      </c>
      <c r="J20" s="21">
        <f>F20*G20</f>
        <v>0</v>
      </c>
      <c r="K20" s="21">
        <v>0</v>
      </c>
      <c r="L20" s="21">
        <f>F20*K20</f>
        <v>0</v>
      </c>
      <c r="M20" s="22" t="s">
        <v>55</v>
      </c>
      <c r="N20" s="2"/>
      <c r="Z20" s="21">
        <f>IF(AQ20="5",BJ20,0)</f>
        <v>0</v>
      </c>
      <c r="AB20" s="21">
        <f>IF(AQ20="1",BH20,0)</f>
        <v>0</v>
      </c>
      <c r="AC20" s="21">
        <f>IF(AQ20="1",BI20,0)</f>
        <v>0</v>
      </c>
      <c r="AD20" s="21">
        <f>IF(AQ20="7",BH20,0)</f>
        <v>0</v>
      </c>
      <c r="AE20" s="21">
        <f>IF(AQ20="7",BI20,0)</f>
        <v>0</v>
      </c>
      <c r="AF20" s="21">
        <f>IF(AQ20="2",BH20,0)</f>
        <v>0</v>
      </c>
      <c r="AG20" s="21">
        <f>IF(AQ20="2",BI20,0)</f>
        <v>0</v>
      </c>
      <c r="AH20" s="21">
        <f>IF(AQ20="0",BJ20,0)</f>
        <v>0</v>
      </c>
      <c r="AI20" s="10"/>
      <c r="AJ20" s="21">
        <f>IF(AN20=0,J20,0)</f>
        <v>0</v>
      </c>
      <c r="AK20" s="21">
        <f>IF(AN20=15,J20,0)</f>
        <v>0</v>
      </c>
      <c r="AL20" s="21">
        <f>IF(AN20=21,J20,0)</f>
        <v>0</v>
      </c>
      <c r="AN20" s="21">
        <v>21</v>
      </c>
      <c r="AO20" s="21">
        <f>G20*0</f>
        <v>0</v>
      </c>
      <c r="AP20" s="21">
        <f>G20*(1-0)</f>
        <v>0</v>
      </c>
      <c r="AQ20" s="23" t="s">
        <v>51</v>
      </c>
      <c r="AV20" s="21">
        <f>AW20+AX20</f>
        <v>0</v>
      </c>
      <c r="AW20" s="21">
        <f>F20*AO20</f>
        <v>0</v>
      </c>
      <c r="AX20" s="21">
        <f>F20*AP20</f>
        <v>0</v>
      </c>
      <c r="AY20" s="23" t="s">
        <v>97</v>
      </c>
      <c r="AZ20" s="23" t="s">
        <v>57</v>
      </c>
      <c r="BA20" s="10" t="s">
        <v>58</v>
      </c>
      <c r="BC20" s="21">
        <f>AW20+AX20</f>
        <v>0</v>
      </c>
      <c r="BD20" s="21">
        <f>G20/(100-BE20)*100</f>
        <v>0</v>
      </c>
      <c r="BE20" s="21">
        <v>0</v>
      </c>
      <c r="BF20" s="21">
        <f>L20</f>
        <v>0</v>
      </c>
      <c r="BH20" s="21">
        <f>F20*AO20</f>
        <v>0</v>
      </c>
      <c r="BI20" s="21">
        <f>F20*AP20</f>
        <v>0</v>
      </c>
      <c r="BJ20" s="21">
        <f>F20*G20</f>
        <v>0</v>
      </c>
      <c r="BK20" s="21" t="s">
        <v>59</v>
      </c>
      <c r="BL20" s="21">
        <v>16</v>
      </c>
    </row>
    <row r="21" spans="1:14" ht="15">
      <c r="A21" s="2"/>
      <c r="C21" s="24" t="s">
        <v>811</v>
      </c>
      <c r="D21" s="24"/>
      <c r="F21" s="25">
        <v>5.1</v>
      </c>
      <c r="M21" s="26"/>
      <c r="N21" s="2"/>
    </row>
    <row r="22" spans="1:47" ht="15">
      <c r="A22" s="41"/>
      <c r="B22" s="42" t="s">
        <v>102</v>
      </c>
      <c r="C22" s="637" t="s">
        <v>103</v>
      </c>
      <c r="D22" s="638"/>
      <c r="E22" s="43" t="s">
        <v>4</v>
      </c>
      <c r="F22" s="43" t="s">
        <v>4</v>
      </c>
      <c r="G22" s="43" t="s">
        <v>4</v>
      </c>
      <c r="H22" s="44">
        <f>SUM(H23:H26)</f>
        <v>0</v>
      </c>
      <c r="I22" s="44">
        <f>SUM(I23:I26)</f>
        <v>0</v>
      </c>
      <c r="J22" s="44"/>
      <c r="K22" s="45"/>
      <c r="L22" s="44">
        <f>SUM(L23:L26)</f>
        <v>0</v>
      </c>
      <c r="M22" s="46"/>
      <c r="N22" s="2"/>
      <c r="AI22" s="10"/>
      <c r="AS22" s="19">
        <f>SUM(AJ23:AJ26)</f>
        <v>0</v>
      </c>
      <c r="AT22" s="19">
        <f>SUM(AK23:AK26)</f>
        <v>0</v>
      </c>
      <c r="AU22" s="19">
        <f>SUM(AL23:AL26)</f>
        <v>0</v>
      </c>
    </row>
    <row r="23" spans="1:64" ht="15">
      <c r="A23" s="20" t="s">
        <v>71</v>
      </c>
      <c r="B23" s="3" t="s">
        <v>105</v>
      </c>
      <c r="C23" s="618" t="s">
        <v>106</v>
      </c>
      <c r="D23" s="608"/>
      <c r="E23" s="3" t="s">
        <v>81</v>
      </c>
      <c r="F23" s="21">
        <v>8</v>
      </c>
      <c r="G23" s="537"/>
      <c r="H23" s="21">
        <f>F23*AO23</f>
        <v>0</v>
      </c>
      <c r="I23" s="21">
        <f>F23*AP23</f>
        <v>0</v>
      </c>
      <c r="J23" s="21">
        <f>F23*G23</f>
        <v>0</v>
      </c>
      <c r="K23" s="21">
        <v>0</v>
      </c>
      <c r="L23" s="21">
        <f>F23*K23</f>
        <v>0</v>
      </c>
      <c r="M23" s="22" t="s">
        <v>55</v>
      </c>
      <c r="N23" s="2"/>
      <c r="Z23" s="21">
        <f>IF(AQ23="5",BJ23,0)</f>
        <v>0</v>
      </c>
      <c r="AB23" s="21">
        <f>IF(AQ23="1",BH23,0)</f>
        <v>0</v>
      </c>
      <c r="AC23" s="21">
        <f>IF(AQ23="1",BI23,0)</f>
        <v>0</v>
      </c>
      <c r="AD23" s="21">
        <f>IF(AQ23="7",BH23,0)</f>
        <v>0</v>
      </c>
      <c r="AE23" s="21">
        <f>IF(AQ23="7",BI23,0)</f>
        <v>0</v>
      </c>
      <c r="AF23" s="21">
        <f>IF(AQ23="2",BH23,0)</f>
        <v>0</v>
      </c>
      <c r="AG23" s="21">
        <f>IF(AQ23="2",BI23,0)</f>
        <v>0</v>
      </c>
      <c r="AH23" s="21">
        <f>IF(AQ23="0",BJ23,0)</f>
        <v>0</v>
      </c>
      <c r="AI23" s="10"/>
      <c r="AJ23" s="21">
        <f>IF(AN23=0,J23,0)</f>
        <v>0</v>
      </c>
      <c r="AK23" s="21">
        <f>IF(AN23=15,J23,0)</f>
        <v>0</v>
      </c>
      <c r="AL23" s="21">
        <f>IF(AN23=21,J23,0)</f>
        <v>0</v>
      </c>
      <c r="AN23" s="21">
        <v>21</v>
      </c>
      <c r="AO23" s="21">
        <f>G23*0</f>
        <v>0</v>
      </c>
      <c r="AP23" s="21">
        <f>G23*(1-0)</f>
        <v>0</v>
      </c>
      <c r="AQ23" s="23" t="s">
        <v>51</v>
      </c>
      <c r="AV23" s="21">
        <f>AW23+AX23</f>
        <v>0</v>
      </c>
      <c r="AW23" s="21">
        <f>F23*AO23</f>
        <v>0</v>
      </c>
      <c r="AX23" s="21">
        <f>F23*AP23</f>
        <v>0</v>
      </c>
      <c r="AY23" s="23" t="s">
        <v>107</v>
      </c>
      <c r="AZ23" s="23" t="s">
        <v>57</v>
      </c>
      <c r="BA23" s="10" t="s">
        <v>58</v>
      </c>
      <c r="BC23" s="21">
        <f>AW23+AX23</f>
        <v>0</v>
      </c>
      <c r="BD23" s="21">
        <f>G23/(100-BE23)*100</f>
        <v>0</v>
      </c>
      <c r="BE23" s="21">
        <v>0</v>
      </c>
      <c r="BF23" s="21">
        <f>L23</f>
        <v>0</v>
      </c>
      <c r="BH23" s="21">
        <f>F23*AO23</f>
        <v>0</v>
      </c>
      <c r="BI23" s="21">
        <f>F23*AP23</f>
        <v>0</v>
      </c>
      <c r="BJ23" s="21">
        <f>F23*G23</f>
        <v>0</v>
      </c>
      <c r="BK23" s="21" t="s">
        <v>59</v>
      </c>
      <c r="BL23" s="21">
        <v>17</v>
      </c>
    </row>
    <row r="24" spans="1:14" ht="15">
      <c r="A24" s="2"/>
      <c r="C24" s="24" t="s">
        <v>94</v>
      </c>
      <c r="D24" s="24" t="s">
        <v>656</v>
      </c>
      <c r="F24" s="25">
        <v>8</v>
      </c>
      <c r="M24" s="26"/>
      <c r="N24" s="2"/>
    </row>
    <row r="25" spans="1:14" ht="15">
      <c r="A25" s="2"/>
      <c r="B25" s="27" t="s">
        <v>61</v>
      </c>
      <c r="C25" s="634" t="s">
        <v>109</v>
      </c>
      <c r="D25" s="635"/>
      <c r="E25" s="635"/>
      <c r="F25" s="635"/>
      <c r="G25" s="635"/>
      <c r="H25" s="635"/>
      <c r="I25" s="635"/>
      <c r="J25" s="635"/>
      <c r="K25" s="635"/>
      <c r="L25" s="635"/>
      <c r="M25" s="636"/>
      <c r="N25" s="2"/>
    </row>
    <row r="26" spans="1:64" ht="15">
      <c r="A26" s="20" t="s">
        <v>78</v>
      </c>
      <c r="B26" s="3" t="s">
        <v>110</v>
      </c>
      <c r="C26" s="618" t="s">
        <v>111</v>
      </c>
      <c r="D26" s="608"/>
      <c r="E26" s="3" t="s">
        <v>81</v>
      </c>
      <c r="F26" s="21">
        <v>2</v>
      </c>
      <c r="G26" s="537"/>
      <c r="H26" s="21">
        <f>F26*AO26</f>
        <v>0</v>
      </c>
      <c r="I26" s="21">
        <f>F26*AP26</f>
        <v>0</v>
      </c>
      <c r="J26" s="21">
        <f>F26*G26</f>
        <v>0</v>
      </c>
      <c r="K26" s="21">
        <v>0</v>
      </c>
      <c r="L26" s="21">
        <f>F26*K26</f>
        <v>0</v>
      </c>
      <c r="M26" s="22" t="s">
        <v>55</v>
      </c>
      <c r="N26" s="2"/>
      <c r="Z26" s="21">
        <f>IF(AQ26="5",BJ26,0)</f>
        <v>0</v>
      </c>
      <c r="AB26" s="21">
        <f>IF(AQ26="1",BH26,0)</f>
        <v>0</v>
      </c>
      <c r="AC26" s="21">
        <f>IF(AQ26="1",BI26,0)</f>
        <v>0</v>
      </c>
      <c r="AD26" s="21">
        <f>IF(AQ26="7",BH26,0)</f>
        <v>0</v>
      </c>
      <c r="AE26" s="21">
        <f>IF(AQ26="7",BI26,0)</f>
        <v>0</v>
      </c>
      <c r="AF26" s="21">
        <f>IF(AQ26="2",BH26,0)</f>
        <v>0</v>
      </c>
      <c r="AG26" s="21">
        <f>IF(AQ26="2",BI26,0)</f>
        <v>0</v>
      </c>
      <c r="AH26" s="21">
        <f>IF(AQ26="0",BJ26,0)</f>
        <v>0</v>
      </c>
      <c r="AI26" s="10"/>
      <c r="AJ26" s="21">
        <f>IF(AN26=0,J26,0)</f>
        <v>0</v>
      </c>
      <c r="AK26" s="21">
        <f>IF(AN26=15,J26,0)</f>
        <v>0</v>
      </c>
      <c r="AL26" s="21">
        <f>IF(AN26=21,J26,0)</f>
        <v>0</v>
      </c>
      <c r="AN26" s="21">
        <v>21</v>
      </c>
      <c r="AO26" s="21">
        <f>G26*0</f>
        <v>0</v>
      </c>
      <c r="AP26" s="21">
        <f>G26*(1-0)</f>
        <v>0</v>
      </c>
      <c r="AQ26" s="23" t="s">
        <v>51</v>
      </c>
      <c r="AV26" s="21">
        <f>AW26+AX26</f>
        <v>0</v>
      </c>
      <c r="AW26" s="21">
        <f>F26*AO26</f>
        <v>0</v>
      </c>
      <c r="AX26" s="21">
        <f>F26*AP26</f>
        <v>0</v>
      </c>
      <c r="AY26" s="23" t="s">
        <v>107</v>
      </c>
      <c r="AZ26" s="23" t="s">
        <v>57</v>
      </c>
      <c r="BA26" s="10" t="s">
        <v>58</v>
      </c>
      <c r="BC26" s="21">
        <f>AW26+AX26</f>
        <v>0</v>
      </c>
      <c r="BD26" s="21">
        <f>G26/(100-BE26)*100</f>
        <v>0</v>
      </c>
      <c r="BE26" s="21">
        <v>0</v>
      </c>
      <c r="BF26" s="21">
        <f>L26</f>
        <v>0</v>
      </c>
      <c r="BH26" s="21">
        <f>F26*AO26</f>
        <v>0</v>
      </c>
      <c r="BI26" s="21">
        <f>F26*AP26</f>
        <v>0</v>
      </c>
      <c r="BJ26" s="21">
        <f>F26*G26</f>
        <v>0</v>
      </c>
      <c r="BK26" s="21" t="s">
        <v>59</v>
      </c>
      <c r="BL26" s="21">
        <v>17</v>
      </c>
    </row>
    <row r="27" spans="1:14" ht="15">
      <c r="A27" s="2"/>
      <c r="C27" s="24" t="s">
        <v>63</v>
      </c>
      <c r="D27" s="24"/>
      <c r="F27" s="25">
        <v>2</v>
      </c>
      <c r="M27" s="26"/>
      <c r="N27" s="2"/>
    </row>
    <row r="28" spans="1:14" ht="15">
      <c r="A28" s="2"/>
      <c r="B28" s="27" t="s">
        <v>61</v>
      </c>
      <c r="C28" s="634" t="s">
        <v>113</v>
      </c>
      <c r="D28" s="635"/>
      <c r="E28" s="635"/>
      <c r="F28" s="635"/>
      <c r="G28" s="635"/>
      <c r="H28" s="635"/>
      <c r="I28" s="635"/>
      <c r="J28" s="635"/>
      <c r="K28" s="635"/>
      <c r="L28" s="635"/>
      <c r="M28" s="636"/>
      <c r="N28" s="2"/>
    </row>
    <row r="29" spans="1:47" ht="15">
      <c r="A29" s="41"/>
      <c r="B29" s="42" t="s">
        <v>114</v>
      </c>
      <c r="C29" s="637" t="s">
        <v>115</v>
      </c>
      <c r="D29" s="638"/>
      <c r="E29" s="43" t="s">
        <v>4</v>
      </c>
      <c r="F29" s="43" t="s">
        <v>4</v>
      </c>
      <c r="G29" s="43" t="s">
        <v>4</v>
      </c>
      <c r="H29" s="44">
        <f>SUM(H30:H30)</f>
        <v>0</v>
      </c>
      <c r="I29" s="44">
        <f>SUM(I30:I30)</f>
        <v>0</v>
      </c>
      <c r="J29" s="44">
        <f>SUM(J30:J30)</f>
        <v>0</v>
      </c>
      <c r="K29" s="45"/>
      <c r="L29" s="44">
        <f>SUM(L30:L30)</f>
        <v>0</v>
      </c>
      <c r="M29" s="46"/>
      <c r="N29" s="2"/>
      <c r="AI29" s="10"/>
      <c r="AS29" s="19">
        <f>SUM(AJ30:AJ30)</f>
        <v>0</v>
      </c>
      <c r="AT29" s="19">
        <f>SUM(AK30:AK30)</f>
        <v>0</v>
      </c>
      <c r="AU29" s="19">
        <f>SUM(AL30:AL30)</f>
        <v>0</v>
      </c>
    </row>
    <row r="30" spans="1:64" ht="15">
      <c r="A30" s="20" t="s">
        <v>85</v>
      </c>
      <c r="B30" s="3" t="s">
        <v>116</v>
      </c>
      <c r="C30" s="618" t="s">
        <v>117</v>
      </c>
      <c r="D30" s="608"/>
      <c r="E30" s="3" t="s">
        <v>54</v>
      </c>
      <c r="F30" s="21">
        <v>14.5</v>
      </c>
      <c r="G30" s="537"/>
      <c r="H30" s="21">
        <f>F30*AO30</f>
        <v>0</v>
      </c>
      <c r="I30" s="21">
        <f>F30*AP30</f>
        <v>0</v>
      </c>
      <c r="J30" s="21">
        <f>F30*G30</f>
        <v>0</v>
      </c>
      <c r="K30" s="21">
        <v>0</v>
      </c>
      <c r="L30" s="21">
        <f>F30*K30</f>
        <v>0</v>
      </c>
      <c r="M30" s="22" t="s">
        <v>55</v>
      </c>
      <c r="N30" s="2"/>
      <c r="Z30" s="21">
        <f>IF(AQ30="5",BJ30,0)</f>
        <v>0</v>
      </c>
      <c r="AB30" s="21">
        <f>IF(AQ30="1",BH30,0)</f>
        <v>0</v>
      </c>
      <c r="AC30" s="21">
        <f>IF(AQ30="1",BI30,0)</f>
        <v>0</v>
      </c>
      <c r="AD30" s="21">
        <f>IF(AQ30="7",BH30,0)</f>
        <v>0</v>
      </c>
      <c r="AE30" s="21">
        <f>IF(AQ30="7",BI30,0)</f>
        <v>0</v>
      </c>
      <c r="AF30" s="21">
        <f>IF(AQ30="2",BH30,0)</f>
        <v>0</v>
      </c>
      <c r="AG30" s="21">
        <f>IF(AQ30="2",BI30,0)</f>
        <v>0</v>
      </c>
      <c r="AH30" s="21">
        <f>IF(AQ30="0",BJ30,0)</f>
        <v>0</v>
      </c>
      <c r="AI30" s="10"/>
      <c r="AJ30" s="21">
        <f>IF(AN30=0,J30,0)</f>
        <v>0</v>
      </c>
      <c r="AK30" s="21">
        <f>IF(AN30=15,J30,0)</f>
        <v>0</v>
      </c>
      <c r="AL30" s="21">
        <f>IF(AN30=21,J30,0)</f>
        <v>0</v>
      </c>
      <c r="AN30" s="21">
        <v>21</v>
      </c>
      <c r="AO30" s="21">
        <f>G30*0</f>
        <v>0</v>
      </c>
      <c r="AP30" s="21">
        <f>G30*(1-0)</f>
        <v>0</v>
      </c>
      <c r="AQ30" s="23" t="s">
        <v>51</v>
      </c>
      <c r="AV30" s="21">
        <f>AW30+AX30</f>
        <v>0</v>
      </c>
      <c r="AW30" s="21">
        <f>F30*AO30</f>
        <v>0</v>
      </c>
      <c r="AX30" s="21">
        <f>F30*AP30</f>
        <v>0</v>
      </c>
      <c r="AY30" s="23" t="s">
        <v>118</v>
      </c>
      <c r="AZ30" s="23" t="s">
        <v>57</v>
      </c>
      <c r="BA30" s="10" t="s">
        <v>58</v>
      </c>
      <c r="BC30" s="21">
        <f>AW30+AX30</f>
        <v>0</v>
      </c>
      <c r="BD30" s="21">
        <f>G30/(100-BE30)*100</f>
        <v>0</v>
      </c>
      <c r="BE30" s="21">
        <v>0</v>
      </c>
      <c r="BF30" s="21">
        <f>L30</f>
        <v>0</v>
      </c>
      <c r="BH30" s="21">
        <f>F30*AO30</f>
        <v>0</v>
      </c>
      <c r="BI30" s="21">
        <f>F30*AP30</f>
        <v>0</v>
      </c>
      <c r="BJ30" s="21">
        <f>F30*G30</f>
        <v>0</v>
      </c>
      <c r="BK30" s="21" t="s">
        <v>59</v>
      </c>
      <c r="BL30" s="21">
        <v>18</v>
      </c>
    </row>
    <row r="31" spans="1:14" ht="15">
      <c r="A31" s="2"/>
      <c r="C31" s="24" t="s">
        <v>812</v>
      </c>
      <c r="D31" s="24"/>
      <c r="F31" s="25">
        <v>14.5</v>
      </c>
      <c r="M31" s="26"/>
      <c r="N31" s="2"/>
    </row>
    <row r="32" spans="1:14" ht="15">
      <c r="A32" s="2"/>
      <c r="B32" s="27" t="s">
        <v>61</v>
      </c>
      <c r="C32" s="634" t="s">
        <v>120</v>
      </c>
      <c r="D32" s="635"/>
      <c r="E32" s="635"/>
      <c r="F32" s="635"/>
      <c r="G32" s="635"/>
      <c r="H32" s="635"/>
      <c r="I32" s="635"/>
      <c r="J32" s="635"/>
      <c r="K32" s="635"/>
      <c r="L32" s="635"/>
      <c r="M32" s="636"/>
      <c r="N32" s="2"/>
    </row>
    <row r="33" spans="1:47" ht="15">
      <c r="A33" s="41"/>
      <c r="B33" s="42" t="s">
        <v>121</v>
      </c>
      <c r="C33" s="637" t="s">
        <v>122</v>
      </c>
      <c r="D33" s="638"/>
      <c r="E33" s="43" t="s">
        <v>4</v>
      </c>
      <c r="F33" s="43" t="s">
        <v>4</v>
      </c>
      <c r="G33" s="43" t="s">
        <v>4</v>
      </c>
      <c r="H33" s="44">
        <f>SUM(H34:H34)</f>
        <v>0</v>
      </c>
      <c r="I33" s="44">
        <f>SUM(I34:I34)</f>
        <v>0</v>
      </c>
      <c r="J33" s="44">
        <f>SUM(J34:J34)</f>
        <v>0</v>
      </c>
      <c r="K33" s="45"/>
      <c r="L33" s="44">
        <f>SUM(L34:L34)</f>
        <v>0</v>
      </c>
      <c r="M33" s="46"/>
      <c r="N33" s="2"/>
      <c r="AI33" s="10"/>
      <c r="AS33" s="19">
        <f>SUM(AJ34:AJ34)</f>
        <v>0</v>
      </c>
      <c r="AT33" s="19">
        <f>SUM(AK34:AK34)</f>
        <v>0</v>
      </c>
      <c r="AU33" s="19">
        <f>SUM(AL34:AL34)</f>
        <v>0</v>
      </c>
    </row>
    <row r="34" spans="1:64" ht="15">
      <c r="A34" s="20" t="s">
        <v>89</v>
      </c>
      <c r="B34" s="3" t="s">
        <v>129</v>
      </c>
      <c r="C34" s="618" t="s">
        <v>130</v>
      </c>
      <c r="D34" s="608"/>
      <c r="E34" s="3" t="s">
        <v>125</v>
      </c>
      <c r="F34" s="21">
        <v>8.16</v>
      </c>
      <c r="G34" s="537"/>
      <c r="H34" s="21">
        <f>F34*AO34</f>
        <v>0</v>
      </c>
      <c r="I34" s="21">
        <f>F34*AP34</f>
        <v>0</v>
      </c>
      <c r="J34" s="21">
        <f>F34*G34</f>
        <v>0</v>
      </c>
      <c r="K34" s="21">
        <v>0</v>
      </c>
      <c r="L34" s="21">
        <f>F34*K34</f>
        <v>0</v>
      </c>
      <c r="M34" s="22" t="s">
        <v>55</v>
      </c>
      <c r="N34" s="2"/>
      <c r="Z34" s="21">
        <f>IF(AQ34="5",BJ34,0)</f>
        <v>0</v>
      </c>
      <c r="AB34" s="21">
        <f>IF(AQ34="1",BH34,0)</f>
        <v>0</v>
      </c>
      <c r="AC34" s="21">
        <f>IF(AQ34="1",BI34,0)</f>
        <v>0</v>
      </c>
      <c r="AD34" s="21">
        <f>IF(AQ34="7",BH34,0)</f>
        <v>0</v>
      </c>
      <c r="AE34" s="21">
        <f>IF(AQ34="7",BI34,0)</f>
        <v>0</v>
      </c>
      <c r="AF34" s="21">
        <f>IF(AQ34="2",BH34,0)</f>
        <v>0</v>
      </c>
      <c r="AG34" s="21">
        <f>IF(AQ34="2",BI34,0)</f>
        <v>0</v>
      </c>
      <c r="AH34" s="21">
        <f>IF(AQ34="0",BJ34,0)</f>
        <v>0</v>
      </c>
      <c r="AI34" s="10"/>
      <c r="AJ34" s="21">
        <f>IF(AN34=0,J34,0)</f>
        <v>0</v>
      </c>
      <c r="AK34" s="21">
        <f>IF(AN34=15,J34,0)</f>
        <v>0</v>
      </c>
      <c r="AL34" s="21">
        <f>IF(AN34=21,J34,0)</f>
        <v>0</v>
      </c>
      <c r="AN34" s="21">
        <v>21</v>
      </c>
      <c r="AO34" s="21">
        <f>G34*0</f>
        <v>0</v>
      </c>
      <c r="AP34" s="21">
        <f>G34*(1-0)</f>
        <v>0</v>
      </c>
      <c r="AQ34" s="23" t="s">
        <v>51</v>
      </c>
      <c r="AV34" s="21">
        <f>AW34+AX34</f>
        <v>0</v>
      </c>
      <c r="AW34" s="21">
        <f>F34*AO34</f>
        <v>0</v>
      </c>
      <c r="AX34" s="21">
        <f>F34*AP34</f>
        <v>0</v>
      </c>
      <c r="AY34" s="23" t="s">
        <v>126</v>
      </c>
      <c r="AZ34" s="23" t="s">
        <v>57</v>
      </c>
      <c r="BA34" s="10" t="s">
        <v>58</v>
      </c>
      <c r="BC34" s="21">
        <f>AW34+AX34</f>
        <v>0</v>
      </c>
      <c r="BD34" s="21">
        <f>G34/(100-BE34)*100</f>
        <v>0</v>
      </c>
      <c r="BE34" s="21">
        <v>0</v>
      </c>
      <c r="BF34" s="21">
        <f>L34</f>
        <v>0</v>
      </c>
      <c r="BH34" s="21">
        <f>F34*AO34</f>
        <v>0</v>
      </c>
      <c r="BI34" s="21">
        <f>F34*AP34</f>
        <v>0</v>
      </c>
      <c r="BJ34" s="21">
        <f>F34*G34</f>
        <v>0</v>
      </c>
      <c r="BK34" s="21" t="s">
        <v>59</v>
      </c>
      <c r="BL34" s="21">
        <v>19</v>
      </c>
    </row>
    <row r="35" spans="1:14" ht="15">
      <c r="A35" s="2"/>
      <c r="C35" s="24" t="s">
        <v>813</v>
      </c>
      <c r="D35" s="24"/>
      <c r="F35" s="25">
        <v>8.16</v>
      </c>
      <c r="M35" s="26"/>
      <c r="N35" s="2"/>
    </row>
    <row r="36" spans="1:47" ht="15">
      <c r="A36" s="41"/>
      <c r="B36" s="42" t="s">
        <v>187</v>
      </c>
      <c r="C36" s="637" t="s">
        <v>814</v>
      </c>
      <c r="D36" s="638"/>
      <c r="E36" s="43" t="s">
        <v>4</v>
      </c>
      <c r="F36" s="43" t="s">
        <v>4</v>
      </c>
      <c r="G36" s="43" t="s">
        <v>4</v>
      </c>
      <c r="H36" s="44">
        <f>SUM(H37:H37)</f>
        <v>0</v>
      </c>
      <c r="I36" s="44">
        <f>SUM(I37:I37)</f>
        <v>0</v>
      </c>
      <c r="J36" s="44">
        <f>SUM(J37:J37)</f>
        <v>0</v>
      </c>
      <c r="K36" s="45"/>
      <c r="L36" s="44">
        <f>SUM(L37:L37)</f>
        <v>1.3383242</v>
      </c>
      <c r="M36" s="46"/>
      <c r="N36" s="2"/>
      <c r="AI36" s="10"/>
      <c r="AS36" s="19">
        <f>SUM(AJ37:AJ37)</f>
        <v>0</v>
      </c>
      <c r="AT36" s="19">
        <f>SUM(AK37:AK37)</f>
        <v>0</v>
      </c>
      <c r="AU36" s="19">
        <f>SUM(AL37:AL37)</f>
        <v>0</v>
      </c>
    </row>
    <row r="37" spans="1:64" ht="15">
      <c r="A37" s="20" t="s">
        <v>94</v>
      </c>
      <c r="B37" s="3" t="s">
        <v>815</v>
      </c>
      <c r="C37" s="618" t="s">
        <v>816</v>
      </c>
      <c r="D37" s="608"/>
      <c r="E37" s="3" t="s">
        <v>81</v>
      </c>
      <c r="F37" s="21">
        <v>0.53</v>
      </c>
      <c r="G37" s="537"/>
      <c r="H37" s="21">
        <f>F37*AO37</f>
        <v>0</v>
      </c>
      <c r="I37" s="21">
        <f>F37*AP37</f>
        <v>0</v>
      </c>
      <c r="J37" s="21">
        <f>F37*G37</f>
        <v>0</v>
      </c>
      <c r="K37" s="21">
        <v>2.52514</v>
      </c>
      <c r="L37" s="21">
        <f>F37*K37</f>
        <v>1.3383242</v>
      </c>
      <c r="M37" s="22" t="s">
        <v>55</v>
      </c>
      <c r="N37" s="2"/>
      <c r="Z37" s="21">
        <f>IF(AQ37="5",BJ37,0)</f>
        <v>0</v>
      </c>
      <c r="AB37" s="21">
        <f>IF(AQ37="1",BH37,0)</f>
        <v>0</v>
      </c>
      <c r="AC37" s="21">
        <f>IF(AQ37="1",BI37,0)</f>
        <v>0</v>
      </c>
      <c r="AD37" s="21">
        <f>IF(AQ37="7",BH37,0)</f>
        <v>0</v>
      </c>
      <c r="AE37" s="21">
        <f>IF(AQ37="7",BI37,0)</f>
        <v>0</v>
      </c>
      <c r="AF37" s="21">
        <f>IF(AQ37="2",BH37,0)</f>
        <v>0</v>
      </c>
      <c r="AG37" s="21">
        <f>IF(AQ37="2",BI37,0)</f>
        <v>0</v>
      </c>
      <c r="AH37" s="21">
        <f>IF(AQ37="0",BJ37,0)</f>
        <v>0</v>
      </c>
      <c r="AI37" s="10"/>
      <c r="AJ37" s="21">
        <f>IF(AN37=0,J37,0)</f>
        <v>0</v>
      </c>
      <c r="AK37" s="21">
        <f>IF(AN37=15,J37,0)</f>
        <v>0</v>
      </c>
      <c r="AL37" s="21">
        <f>IF(AN37=21,J37,0)</f>
        <v>0</v>
      </c>
      <c r="AN37" s="21">
        <v>21</v>
      </c>
      <c r="AO37" s="21">
        <f>G37*0.824622377622378</f>
        <v>0</v>
      </c>
      <c r="AP37" s="21">
        <f>G37*(1-0.824622377622378)</f>
        <v>0</v>
      </c>
      <c r="AQ37" s="23" t="s">
        <v>51</v>
      </c>
      <c r="AV37" s="21">
        <f>AW37+AX37</f>
        <v>0</v>
      </c>
      <c r="AW37" s="21">
        <f>F37*AO37</f>
        <v>0</v>
      </c>
      <c r="AX37" s="21">
        <f>F37*AP37</f>
        <v>0</v>
      </c>
      <c r="AY37" s="23" t="s">
        <v>817</v>
      </c>
      <c r="AZ37" s="23" t="s">
        <v>460</v>
      </c>
      <c r="BA37" s="10" t="s">
        <v>58</v>
      </c>
      <c r="BC37" s="21">
        <f>AW37+AX37</f>
        <v>0</v>
      </c>
      <c r="BD37" s="21">
        <f>G37/(100-BE37)*100</f>
        <v>0</v>
      </c>
      <c r="BE37" s="21">
        <v>0</v>
      </c>
      <c r="BF37" s="21">
        <f>L37</f>
        <v>1.3383242</v>
      </c>
      <c r="BH37" s="21">
        <f>F37*AO37</f>
        <v>0</v>
      </c>
      <c r="BI37" s="21">
        <f>F37*AP37</f>
        <v>0</v>
      </c>
      <c r="BJ37" s="21">
        <f>F37*G37</f>
        <v>0</v>
      </c>
      <c r="BK37" s="21" t="s">
        <v>59</v>
      </c>
      <c r="BL37" s="21">
        <v>27</v>
      </c>
    </row>
    <row r="38" spans="1:14" ht="15">
      <c r="A38" s="2"/>
      <c r="C38" s="24" t="s">
        <v>818</v>
      </c>
      <c r="D38" s="24"/>
      <c r="F38" s="25">
        <v>0.53</v>
      </c>
      <c r="M38" s="26"/>
      <c r="N38" s="2"/>
    </row>
    <row r="39" spans="1:14" ht="15">
      <c r="A39" s="2"/>
      <c r="B39" s="27" t="s">
        <v>61</v>
      </c>
      <c r="C39" s="634" t="s">
        <v>819</v>
      </c>
      <c r="D39" s="635"/>
      <c r="E39" s="635"/>
      <c r="F39" s="635"/>
      <c r="G39" s="635"/>
      <c r="H39" s="635"/>
      <c r="I39" s="635"/>
      <c r="J39" s="635"/>
      <c r="K39" s="635"/>
      <c r="L39" s="635"/>
      <c r="M39" s="636"/>
      <c r="N39" s="2"/>
    </row>
    <row r="40" spans="1:47" ht="15">
      <c r="A40" s="41"/>
      <c r="B40" s="42" t="s">
        <v>108</v>
      </c>
      <c r="C40" s="637" t="s">
        <v>820</v>
      </c>
      <c r="D40" s="638"/>
      <c r="E40" s="43" t="s">
        <v>4</v>
      </c>
      <c r="F40" s="43" t="s">
        <v>4</v>
      </c>
      <c r="G40" s="43" t="s">
        <v>4</v>
      </c>
      <c r="H40" s="44">
        <f>SUM(H41:H49)</f>
        <v>0</v>
      </c>
      <c r="I40" s="44">
        <f>SUM(I41:I49)</f>
        <v>0</v>
      </c>
      <c r="J40" s="44">
        <f>SUM(J41:J49)</f>
        <v>0</v>
      </c>
      <c r="K40" s="45"/>
      <c r="L40" s="44">
        <f>SUM(L41:L49)</f>
        <v>8.3183308608</v>
      </c>
      <c r="M40" s="46"/>
      <c r="N40" s="2"/>
      <c r="AI40" s="10"/>
      <c r="AS40" s="19">
        <f>SUM(AJ41:AJ49)</f>
        <v>0</v>
      </c>
      <c r="AT40" s="19">
        <f>SUM(AK41:AK49)</f>
        <v>0</v>
      </c>
      <c r="AU40" s="19">
        <f>SUM(AL41:AL49)</f>
        <v>0</v>
      </c>
    </row>
    <row r="41" spans="1:64" ht="15">
      <c r="A41" s="20" t="s">
        <v>98</v>
      </c>
      <c r="B41" s="3" t="s">
        <v>821</v>
      </c>
      <c r="C41" s="618" t="s">
        <v>822</v>
      </c>
      <c r="D41" s="608"/>
      <c r="E41" s="3" t="s">
        <v>54</v>
      </c>
      <c r="F41" s="21">
        <v>10.56</v>
      </c>
      <c r="G41" s="537"/>
      <c r="H41" s="21">
        <f>F41*AO41</f>
        <v>0</v>
      </c>
      <c r="I41" s="21">
        <f>F41*AP41</f>
        <v>0</v>
      </c>
      <c r="J41" s="21">
        <f>F41*G41</f>
        <v>0</v>
      </c>
      <c r="K41" s="21">
        <v>0.4847</v>
      </c>
      <c r="L41" s="21">
        <f>F41*K41</f>
        <v>5.118432</v>
      </c>
      <c r="M41" s="22" t="s">
        <v>55</v>
      </c>
      <c r="N41" s="2"/>
      <c r="Z41" s="21">
        <f>IF(AQ41="5",BJ41,0)</f>
        <v>0</v>
      </c>
      <c r="AB41" s="21">
        <f>IF(AQ41="1",BH41,0)</f>
        <v>0</v>
      </c>
      <c r="AC41" s="21">
        <f>IF(AQ41="1",BI41,0)</f>
        <v>0</v>
      </c>
      <c r="AD41" s="21">
        <f>IF(AQ41="7",BH41,0)</f>
        <v>0</v>
      </c>
      <c r="AE41" s="21">
        <f>IF(AQ41="7",BI41,0)</f>
        <v>0</v>
      </c>
      <c r="AF41" s="21">
        <f>IF(AQ41="2",BH41,0)</f>
        <v>0</v>
      </c>
      <c r="AG41" s="21">
        <f>IF(AQ41="2",BI41,0)</f>
        <v>0</v>
      </c>
      <c r="AH41" s="21">
        <f>IF(AQ41="0",BJ41,0)</f>
        <v>0</v>
      </c>
      <c r="AI41" s="10"/>
      <c r="AJ41" s="21">
        <f>IF(AN41=0,J41,0)</f>
        <v>0</v>
      </c>
      <c r="AK41" s="21">
        <f>IF(AN41=15,J41,0)</f>
        <v>0</v>
      </c>
      <c r="AL41" s="21">
        <f>IF(AN41=21,J41,0)</f>
        <v>0</v>
      </c>
      <c r="AN41" s="21">
        <v>21</v>
      </c>
      <c r="AO41" s="21">
        <f>G41*0.682586359610275</f>
        <v>0</v>
      </c>
      <c r="AP41" s="21">
        <f>G41*(1-0.682586359610275)</f>
        <v>0</v>
      </c>
      <c r="AQ41" s="23" t="s">
        <v>51</v>
      </c>
      <c r="AV41" s="21">
        <f>AW41+AX41</f>
        <v>0</v>
      </c>
      <c r="AW41" s="21">
        <f>F41*AO41</f>
        <v>0</v>
      </c>
      <c r="AX41" s="21">
        <f>F41*AP41</f>
        <v>0</v>
      </c>
      <c r="AY41" s="23" t="s">
        <v>823</v>
      </c>
      <c r="AZ41" s="23" t="s">
        <v>824</v>
      </c>
      <c r="BA41" s="10" t="s">
        <v>58</v>
      </c>
      <c r="BC41" s="21">
        <f>AW41+AX41</f>
        <v>0</v>
      </c>
      <c r="BD41" s="21">
        <f>G41/(100-BE41)*100</f>
        <v>0</v>
      </c>
      <c r="BE41" s="21">
        <v>0</v>
      </c>
      <c r="BF41" s="21">
        <f>L41</f>
        <v>5.118432</v>
      </c>
      <c r="BH41" s="21">
        <f>F41*AO41</f>
        <v>0</v>
      </c>
      <c r="BI41" s="21">
        <f>F41*AP41</f>
        <v>0</v>
      </c>
      <c r="BJ41" s="21">
        <f>F41*G41</f>
        <v>0</v>
      </c>
      <c r="BK41" s="21" t="s">
        <v>59</v>
      </c>
      <c r="BL41" s="21">
        <v>31</v>
      </c>
    </row>
    <row r="42" spans="1:14" ht="15">
      <c r="A42" s="2"/>
      <c r="B42" s="27" t="s">
        <v>138</v>
      </c>
      <c r="C42" s="639" t="s">
        <v>825</v>
      </c>
      <c r="D42" s="640"/>
      <c r="E42" s="640"/>
      <c r="F42" s="640"/>
      <c r="G42" s="640"/>
      <c r="H42" s="640"/>
      <c r="I42" s="640"/>
      <c r="J42" s="640"/>
      <c r="K42" s="640"/>
      <c r="L42" s="640"/>
      <c r="M42" s="641"/>
      <c r="N42" s="2"/>
    </row>
    <row r="43" spans="1:14" ht="15">
      <c r="A43" s="2"/>
      <c r="C43" s="24" t="s">
        <v>826</v>
      </c>
      <c r="D43" s="24"/>
      <c r="F43" s="25">
        <v>10.56</v>
      </c>
      <c r="M43" s="26"/>
      <c r="N43" s="2"/>
    </row>
    <row r="44" spans="1:14" ht="15">
      <c r="A44" s="2"/>
      <c r="B44" s="27" t="s">
        <v>61</v>
      </c>
      <c r="C44" s="634" t="s">
        <v>827</v>
      </c>
      <c r="D44" s="635"/>
      <c r="E44" s="635"/>
      <c r="F44" s="635"/>
      <c r="G44" s="635"/>
      <c r="H44" s="635"/>
      <c r="I44" s="635"/>
      <c r="J44" s="635"/>
      <c r="K44" s="635"/>
      <c r="L44" s="635"/>
      <c r="M44" s="636"/>
      <c r="N44" s="2"/>
    </row>
    <row r="45" spans="1:64" ht="15">
      <c r="A45" s="20" t="s">
        <v>104</v>
      </c>
      <c r="B45" s="3" t="s">
        <v>828</v>
      </c>
      <c r="C45" s="618" t="s">
        <v>829</v>
      </c>
      <c r="D45" s="608"/>
      <c r="E45" s="3" t="s">
        <v>125</v>
      </c>
      <c r="F45" s="21">
        <v>0.05952</v>
      </c>
      <c r="G45" s="537"/>
      <c r="H45" s="21">
        <f>F45*AO45</f>
        <v>0</v>
      </c>
      <c r="I45" s="21">
        <f>F45*AP45</f>
        <v>0</v>
      </c>
      <c r="J45" s="21">
        <f>F45*G45</f>
        <v>0</v>
      </c>
      <c r="K45" s="21">
        <v>1.02029</v>
      </c>
      <c r="L45" s="21">
        <f>F45*K45</f>
        <v>0.0607276608</v>
      </c>
      <c r="M45" s="22" t="s">
        <v>55</v>
      </c>
      <c r="N45" s="2"/>
      <c r="Z45" s="21">
        <f>IF(AQ45="5",BJ45,0)</f>
        <v>0</v>
      </c>
      <c r="AB45" s="21">
        <f>IF(AQ45="1",BH45,0)</f>
        <v>0</v>
      </c>
      <c r="AC45" s="21">
        <f>IF(AQ45="1",BI45,0)</f>
        <v>0</v>
      </c>
      <c r="AD45" s="21">
        <f>IF(AQ45="7",BH45,0)</f>
        <v>0</v>
      </c>
      <c r="AE45" s="21">
        <f>IF(AQ45="7",BI45,0)</f>
        <v>0</v>
      </c>
      <c r="AF45" s="21">
        <f>IF(AQ45="2",BH45,0)</f>
        <v>0</v>
      </c>
      <c r="AG45" s="21">
        <f>IF(AQ45="2",BI45,0)</f>
        <v>0</v>
      </c>
      <c r="AH45" s="21">
        <f>IF(AQ45="0",BJ45,0)</f>
        <v>0</v>
      </c>
      <c r="AI45" s="10"/>
      <c r="AJ45" s="21">
        <f>IF(AN45=0,J45,0)</f>
        <v>0</v>
      </c>
      <c r="AK45" s="21">
        <f>IF(AN45=15,J45,0)</f>
        <v>0</v>
      </c>
      <c r="AL45" s="21">
        <f>IF(AN45=21,J45,0)</f>
        <v>0</v>
      </c>
      <c r="AN45" s="21">
        <v>21</v>
      </c>
      <c r="AO45" s="21">
        <f>G45*0.748583467043475</f>
        <v>0</v>
      </c>
      <c r="AP45" s="21">
        <f>G45*(1-0.748583467043475)</f>
        <v>0</v>
      </c>
      <c r="AQ45" s="23" t="s">
        <v>51</v>
      </c>
      <c r="AV45" s="21">
        <f>AW45+AX45</f>
        <v>0</v>
      </c>
      <c r="AW45" s="21">
        <f>F45*AO45</f>
        <v>0</v>
      </c>
      <c r="AX45" s="21">
        <f>F45*AP45</f>
        <v>0</v>
      </c>
      <c r="AY45" s="23" t="s">
        <v>823</v>
      </c>
      <c r="AZ45" s="23" t="s">
        <v>824</v>
      </c>
      <c r="BA45" s="10" t="s">
        <v>58</v>
      </c>
      <c r="BC45" s="21">
        <f>AW45+AX45</f>
        <v>0</v>
      </c>
      <c r="BD45" s="21">
        <f>G45/(100-BE45)*100</f>
        <v>0</v>
      </c>
      <c r="BE45" s="21">
        <v>0</v>
      </c>
      <c r="BF45" s="21">
        <f>L45</f>
        <v>0.0607276608</v>
      </c>
      <c r="BH45" s="21">
        <f>F45*AO45</f>
        <v>0</v>
      </c>
      <c r="BI45" s="21">
        <f>F45*AP45</f>
        <v>0</v>
      </c>
      <c r="BJ45" s="21">
        <f>F45*G45</f>
        <v>0</v>
      </c>
      <c r="BK45" s="21" t="s">
        <v>59</v>
      </c>
      <c r="BL45" s="21">
        <v>31</v>
      </c>
    </row>
    <row r="46" spans="1:14" ht="15">
      <c r="A46" s="2"/>
      <c r="C46" s="24" t="s">
        <v>830</v>
      </c>
      <c r="D46" s="24" t="s">
        <v>831</v>
      </c>
      <c r="F46" s="25">
        <v>0.04905</v>
      </c>
      <c r="M46" s="26"/>
      <c r="N46" s="2"/>
    </row>
    <row r="47" spans="1:14" ht="15">
      <c r="A47" s="2"/>
      <c r="C47" s="24" t="s">
        <v>832</v>
      </c>
      <c r="D47" s="24" t="s">
        <v>833</v>
      </c>
      <c r="F47" s="25">
        <v>0.01047</v>
      </c>
      <c r="M47" s="26"/>
      <c r="N47" s="2"/>
    </row>
    <row r="48" spans="1:14" ht="15">
      <c r="A48" s="2"/>
      <c r="B48" s="27" t="s">
        <v>61</v>
      </c>
      <c r="C48" s="634" t="s">
        <v>834</v>
      </c>
      <c r="D48" s="635"/>
      <c r="E48" s="635"/>
      <c r="F48" s="635"/>
      <c r="G48" s="635"/>
      <c r="H48" s="635"/>
      <c r="I48" s="635"/>
      <c r="J48" s="635"/>
      <c r="K48" s="635"/>
      <c r="L48" s="635"/>
      <c r="M48" s="636"/>
      <c r="N48" s="2"/>
    </row>
    <row r="49" spans="1:64" ht="15">
      <c r="A49" s="20" t="s">
        <v>49</v>
      </c>
      <c r="B49" s="3" t="s">
        <v>835</v>
      </c>
      <c r="C49" s="618" t="s">
        <v>836</v>
      </c>
      <c r="D49" s="608"/>
      <c r="E49" s="3" t="s">
        <v>54</v>
      </c>
      <c r="F49" s="21">
        <v>7.92</v>
      </c>
      <c r="G49" s="537"/>
      <c r="H49" s="21">
        <f>F49*AO49</f>
        <v>0</v>
      </c>
      <c r="I49" s="21">
        <f>F49*AP49</f>
        <v>0</v>
      </c>
      <c r="J49" s="21">
        <f>F49*G49</f>
        <v>0</v>
      </c>
      <c r="K49" s="21">
        <v>0.39636</v>
      </c>
      <c r="L49" s="21">
        <f>F49*K49</f>
        <v>3.1391712</v>
      </c>
      <c r="M49" s="22" t="s">
        <v>55</v>
      </c>
      <c r="N49" s="2"/>
      <c r="Z49" s="21">
        <f>IF(AQ49="5",BJ49,0)</f>
        <v>0</v>
      </c>
      <c r="AB49" s="21">
        <f>IF(AQ49="1",BH49,0)</f>
        <v>0</v>
      </c>
      <c r="AC49" s="21">
        <f>IF(AQ49="1",BI49,0)</f>
        <v>0</v>
      </c>
      <c r="AD49" s="21">
        <f>IF(AQ49="7",BH49,0)</f>
        <v>0</v>
      </c>
      <c r="AE49" s="21">
        <f>IF(AQ49="7",BI49,0)</f>
        <v>0</v>
      </c>
      <c r="AF49" s="21">
        <f>IF(AQ49="2",BH49,0)</f>
        <v>0</v>
      </c>
      <c r="AG49" s="21">
        <f>IF(AQ49="2",BI49,0)</f>
        <v>0</v>
      </c>
      <c r="AH49" s="21">
        <f>IF(AQ49="0",BJ49,0)</f>
        <v>0</v>
      </c>
      <c r="AI49" s="10"/>
      <c r="AJ49" s="21">
        <f>IF(AN49=0,J49,0)</f>
        <v>0</v>
      </c>
      <c r="AK49" s="21">
        <f>IF(AN49=15,J49,0)</f>
        <v>0</v>
      </c>
      <c r="AL49" s="21">
        <f>IF(AN49=21,J49,0)</f>
        <v>0</v>
      </c>
      <c r="AN49" s="21">
        <v>21</v>
      </c>
      <c r="AO49" s="21">
        <f>G49*0.72486096838542</f>
        <v>0</v>
      </c>
      <c r="AP49" s="21">
        <f>G49*(1-0.72486096838542)</f>
        <v>0</v>
      </c>
      <c r="AQ49" s="23" t="s">
        <v>51</v>
      </c>
      <c r="AV49" s="21">
        <f>AW49+AX49</f>
        <v>0</v>
      </c>
      <c r="AW49" s="21">
        <f>F49*AO49</f>
        <v>0</v>
      </c>
      <c r="AX49" s="21">
        <f>F49*AP49</f>
        <v>0</v>
      </c>
      <c r="AY49" s="23" t="s">
        <v>823</v>
      </c>
      <c r="AZ49" s="23" t="s">
        <v>824</v>
      </c>
      <c r="BA49" s="10" t="s">
        <v>58</v>
      </c>
      <c r="BC49" s="21">
        <f>AW49+AX49</f>
        <v>0</v>
      </c>
      <c r="BD49" s="21">
        <f>G49/(100-BE49)*100</f>
        <v>0</v>
      </c>
      <c r="BE49" s="21">
        <v>0</v>
      </c>
      <c r="BF49" s="21">
        <f>L49</f>
        <v>3.1391712</v>
      </c>
      <c r="BH49" s="21">
        <f>F49*AO49</f>
        <v>0</v>
      </c>
      <c r="BI49" s="21">
        <f>F49*AP49</f>
        <v>0</v>
      </c>
      <c r="BJ49" s="21">
        <f>F49*G49</f>
        <v>0</v>
      </c>
      <c r="BK49" s="21" t="s">
        <v>59</v>
      </c>
      <c r="BL49" s="21">
        <v>31</v>
      </c>
    </row>
    <row r="50" spans="1:14" ht="15">
      <c r="A50" s="2"/>
      <c r="B50" s="27" t="s">
        <v>138</v>
      </c>
      <c r="C50" s="639" t="s">
        <v>837</v>
      </c>
      <c r="D50" s="640"/>
      <c r="E50" s="640"/>
      <c r="F50" s="640"/>
      <c r="G50" s="640"/>
      <c r="H50" s="640"/>
      <c r="I50" s="640"/>
      <c r="J50" s="640"/>
      <c r="K50" s="640"/>
      <c r="L50" s="640"/>
      <c r="M50" s="641"/>
      <c r="N50" s="2"/>
    </row>
    <row r="51" spans="1:14" ht="15">
      <c r="A51" s="2"/>
      <c r="C51" s="24" t="s">
        <v>838</v>
      </c>
      <c r="D51" s="24"/>
      <c r="F51" s="25">
        <v>7.92</v>
      </c>
      <c r="M51" s="26"/>
      <c r="N51" s="2"/>
    </row>
    <row r="52" spans="1:14" ht="15">
      <c r="A52" s="2"/>
      <c r="B52" s="27" t="s">
        <v>61</v>
      </c>
      <c r="C52" s="634" t="s">
        <v>839</v>
      </c>
      <c r="D52" s="635"/>
      <c r="E52" s="635"/>
      <c r="F52" s="635"/>
      <c r="G52" s="635"/>
      <c r="H52" s="635"/>
      <c r="I52" s="635"/>
      <c r="J52" s="635"/>
      <c r="K52" s="635"/>
      <c r="L52" s="635"/>
      <c r="M52" s="636"/>
      <c r="N52" s="2"/>
    </row>
    <row r="53" spans="1:47" ht="15">
      <c r="A53" s="41"/>
      <c r="B53" s="42" t="s">
        <v>229</v>
      </c>
      <c r="C53" s="637" t="s">
        <v>840</v>
      </c>
      <c r="D53" s="638"/>
      <c r="E53" s="43" t="s">
        <v>4</v>
      </c>
      <c r="F53" s="43" t="s">
        <v>4</v>
      </c>
      <c r="G53" s="43" t="s">
        <v>4</v>
      </c>
      <c r="H53" s="44">
        <f>SUM(H54:H54)</f>
        <v>0</v>
      </c>
      <c r="I53" s="44">
        <f>SUM(I54:I54)</f>
        <v>0</v>
      </c>
      <c r="J53" s="44">
        <f>SUM(J54:J54)</f>
        <v>0</v>
      </c>
      <c r="K53" s="45"/>
      <c r="L53" s="44">
        <f>SUM(L54:L54)</f>
        <v>0.708444</v>
      </c>
      <c r="M53" s="46"/>
      <c r="N53" s="2"/>
      <c r="AI53" s="10"/>
      <c r="AS53" s="19">
        <f>SUM(AJ54:AJ54)</f>
        <v>0</v>
      </c>
      <c r="AT53" s="19">
        <f>SUM(AK54:AK54)</f>
        <v>0</v>
      </c>
      <c r="AU53" s="19">
        <f>SUM(AL54:AL54)</f>
        <v>0</v>
      </c>
    </row>
    <row r="54" spans="1:64" ht="15">
      <c r="A54" s="20" t="s">
        <v>76</v>
      </c>
      <c r="B54" s="3" t="s">
        <v>841</v>
      </c>
      <c r="C54" s="618" t="s">
        <v>842</v>
      </c>
      <c r="D54" s="608"/>
      <c r="E54" s="3" t="s">
        <v>74</v>
      </c>
      <c r="F54" s="21">
        <v>13.2</v>
      </c>
      <c r="G54" s="537"/>
      <c r="H54" s="21">
        <f>F54*AO54</f>
        <v>0</v>
      </c>
      <c r="I54" s="21">
        <f>F54*AP54</f>
        <v>0</v>
      </c>
      <c r="J54" s="21">
        <f>F54*G54</f>
        <v>0</v>
      </c>
      <c r="K54" s="21">
        <v>0.05367</v>
      </c>
      <c r="L54" s="21">
        <f>F54*K54</f>
        <v>0.708444</v>
      </c>
      <c r="M54" s="22" t="s">
        <v>55</v>
      </c>
      <c r="N54" s="2"/>
      <c r="Z54" s="21">
        <f>IF(AQ54="5",BJ54,0)</f>
        <v>0</v>
      </c>
      <c r="AB54" s="21">
        <f>IF(AQ54="1",BH54,0)</f>
        <v>0</v>
      </c>
      <c r="AC54" s="21">
        <f>IF(AQ54="1",BI54,0)</f>
        <v>0</v>
      </c>
      <c r="AD54" s="21">
        <f>IF(AQ54="7",BH54,0)</f>
        <v>0</v>
      </c>
      <c r="AE54" s="21">
        <f>IF(AQ54="7",BI54,0)</f>
        <v>0</v>
      </c>
      <c r="AF54" s="21">
        <f>IF(AQ54="2",BH54,0)</f>
        <v>0</v>
      </c>
      <c r="AG54" s="21">
        <f>IF(AQ54="2",BI54,0)</f>
        <v>0</v>
      </c>
      <c r="AH54" s="21">
        <f>IF(AQ54="0",BJ54,0)</f>
        <v>0</v>
      </c>
      <c r="AI54" s="10"/>
      <c r="AJ54" s="21">
        <f>IF(AN54=0,J54,0)</f>
        <v>0</v>
      </c>
      <c r="AK54" s="21">
        <f>IF(AN54=15,J54,0)</f>
        <v>0</v>
      </c>
      <c r="AL54" s="21">
        <f>IF(AN54=21,J54,0)</f>
        <v>0</v>
      </c>
      <c r="AN54" s="21">
        <v>21</v>
      </c>
      <c r="AO54" s="21">
        <f>G54*0.803302022216685</f>
        <v>0</v>
      </c>
      <c r="AP54" s="21">
        <f>G54*(1-0.803302022216685)</f>
        <v>0</v>
      </c>
      <c r="AQ54" s="23" t="s">
        <v>51</v>
      </c>
      <c r="AV54" s="21">
        <f>AW54+AX54</f>
        <v>0</v>
      </c>
      <c r="AW54" s="21">
        <f>F54*AO54</f>
        <v>0</v>
      </c>
      <c r="AX54" s="21">
        <f>F54*AP54</f>
        <v>0</v>
      </c>
      <c r="AY54" s="23" t="s">
        <v>843</v>
      </c>
      <c r="AZ54" s="23" t="s">
        <v>824</v>
      </c>
      <c r="BA54" s="10" t="s">
        <v>58</v>
      </c>
      <c r="BC54" s="21">
        <f>AW54+AX54</f>
        <v>0</v>
      </c>
      <c r="BD54" s="21">
        <f>G54/(100-BE54)*100</f>
        <v>0</v>
      </c>
      <c r="BE54" s="21">
        <v>0</v>
      </c>
      <c r="BF54" s="21">
        <f>L54</f>
        <v>0.708444</v>
      </c>
      <c r="BH54" s="21">
        <f>F54*AO54</f>
        <v>0</v>
      </c>
      <c r="BI54" s="21">
        <f>F54*AP54</f>
        <v>0</v>
      </c>
      <c r="BJ54" s="21">
        <f>F54*G54</f>
        <v>0</v>
      </c>
      <c r="BK54" s="21" t="s">
        <v>59</v>
      </c>
      <c r="BL54" s="21">
        <v>34</v>
      </c>
    </row>
    <row r="55" spans="1:14" ht="15">
      <c r="A55" s="2"/>
      <c r="B55" s="27" t="s">
        <v>138</v>
      </c>
      <c r="C55" s="639" t="s">
        <v>844</v>
      </c>
      <c r="D55" s="640"/>
      <c r="E55" s="640"/>
      <c r="F55" s="640"/>
      <c r="G55" s="640"/>
      <c r="H55" s="640"/>
      <c r="I55" s="640"/>
      <c r="J55" s="640"/>
      <c r="K55" s="640"/>
      <c r="L55" s="640"/>
      <c r="M55" s="641"/>
      <c r="N55" s="2"/>
    </row>
    <row r="56" spans="1:14" ht="15">
      <c r="A56" s="2"/>
      <c r="C56" s="24" t="s">
        <v>845</v>
      </c>
      <c r="D56" s="24"/>
      <c r="F56" s="25">
        <v>13.2</v>
      </c>
      <c r="M56" s="26"/>
      <c r="N56" s="2"/>
    </row>
    <row r="57" spans="1:14" ht="15">
      <c r="A57" s="2"/>
      <c r="B57" s="27" t="s">
        <v>61</v>
      </c>
      <c r="C57" s="634" t="s">
        <v>846</v>
      </c>
      <c r="D57" s="635"/>
      <c r="E57" s="635"/>
      <c r="F57" s="635"/>
      <c r="G57" s="635"/>
      <c r="H57" s="635"/>
      <c r="I57" s="635"/>
      <c r="J57" s="635"/>
      <c r="K57" s="635"/>
      <c r="L57" s="635"/>
      <c r="M57" s="636"/>
      <c r="N57" s="2"/>
    </row>
    <row r="58" spans="1:47" ht="15">
      <c r="A58" s="41"/>
      <c r="B58" s="42" t="s">
        <v>132</v>
      </c>
      <c r="C58" s="637" t="s">
        <v>133</v>
      </c>
      <c r="D58" s="638"/>
      <c r="E58" s="43" t="s">
        <v>4</v>
      </c>
      <c r="F58" s="43" t="s">
        <v>4</v>
      </c>
      <c r="G58" s="43" t="s">
        <v>4</v>
      </c>
      <c r="H58" s="44">
        <f>SUM(H59:H62)</f>
        <v>0</v>
      </c>
      <c r="I58" s="44">
        <f>SUM(I59:I62)</f>
        <v>0</v>
      </c>
      <c r="J58" s="44">
        <f>SUM(J59:J62)</f>
        <v>0</v>
      </c>
      <c r="K58" s="45"/>
      <c r="L58" s="44">
        <f>SUM(L59:L62)</f>
        <v>8.337499999999999</v>
      </c>
      <c r="M58" s="46"/>
      <c r="N58" s="2"/>
      <c r="AI58" s="10"/>
      <c r="AS58" s="19">
        <f>SUM(AJ59:AJ62)</f>
        <v>0</v>
      </c>
      <c r="AT58" s="19">
        <f>SUM(AK59:AK62)</f>
        <v>0</v>
      </c>
      <c r="AU58" s="19">
        <f>SUM(AL59:AL62)</f>
        <v>0</v>
      </c>
    </row>
    <row r="59" spans="1:64" ht="15">
      <c r="A59" s="20" t="s">
        <v>75</v>
      </c>
      <c r="B59" s="3" t="s">
        <v>150</v>
      </c>
      <c r="C59" s="618" t="s">
        <v>151</v>
      </c>
      <c r="D59" s="608"/>
      <c r="E59" s="3" t="s">
        <v>54</v>
      </c>
      <c r="F59" s="21">
        <v>14.5</v>
      </c>
      <c r="G59" s="537"/>
      <c r="H59" s="21">
        <f>F59*AO59</f>
        <v>0</v>
      </c>
      <c r="I59" s="21">
        <f>F59*AP59</f>
        <v>0</v>
      </c>
      <c r="J59" s="21">
        <f>F59*G59</f>
        <v>0</v>
      </c>
      <c r="K59" s="21">
        <v>0.345</v>
      </c>
      <c r="L59" s="21">
        <f>F59*K59</f>
        <v>5.0024999999999995</v>
      </c>
      <c r="M59" s="22" t="s">
        <v>55</v>
      </c>
      <c r="N59" s="2"/>
      <c r="Z59" s="21">
        <f>IF(AQ59="5",BJ59,0)</f>
        <v>0</v>
      </c>
      <c r="AB59" s="21">
        <f>IF(AQ59="1",BH59,0)</f>
        <v>0</v>
      </c>
      <c r="AC59" s="21">
        <f>IF(AQ59="1",BI59,0)</f>
        <v>0</v>
      </c>
      <c r="AD59" s="21">
        <f>IF(AQ59="7",BH59,0)</f>
        <v>0</v>
      </c>
      <c r="AE59" s="21">
        <f>IF(AQ59="7",BI59,0)</f>
        <v>0</v>
      </c>
      <c r="AF59" s="21">
        <f>IF(AQ59="2",BH59,0)</f>
        <v>0</v>
      </c>
      <c r="AG59" s="21">
        <f>IF(AQ59="2",BI59,0)</f>
        <v>0</v>
      </c>
      <c r="AH59" s="21">
        <f>IF(AQ59="0",BJ59,0)</f>
        <v>0</v>
      </c>
      <c r="AI59" s="10"/>
      <c r="AJ59" s="21">
        <f>IF(AN59=0,J59,0)</f>
        <v>0</v>
      </c>
      <c r="AK59" s="21">
        <f>IF(AN59=15,J59,0)</f>
        <v>0</v>
      </c>
      <c r="AL59" s="21">
        <f>IF(AN59=21,J59,0)</f>
        <v>0</v>
      </c>
      <c r="AN59" s="21">
        <v>21</v>
      </c>
      <c r="AO59" s="21">
        <f>G59*0.835878787878788</f>
        <v>0</v>
      </c>
      <c r="AP59" s="21">
        <f>G59*(1-0.835878787878788)</f>
        <v>0</v>
      </c>
      <c r="AQ59" s="23" t="s">
        <v>51</v>
      </c>
      <c r="AV59" s="21">
        <f>AW59+AX59</f>
        <v>0</v>
      </c>
      <c r="AW59" s="21">
        <f>F59*AO59</f>
        <v>0</v>
      </c>
      <c r="AX59" s="21">
        <f>F59*AP59</f>
        <v>0</v>
      </c>
      <c r="AY59" s="23" t="s">
        <v>136</v>
      </c>
      <c r="AZ59" s="23" t="s">
        <v>137</v>
      </c>
      <c r="BA59" s="10" t="s">
        <v>58</v>
      </c>
      <c r="BC59" s="21">
        <f>AW59+AX59</f>
        <v>0</v>
      </c>
      <c r="BD59" s="21">
        <f>G59/(100-BE59)*100</f>
        <v>0</v>
      </c>
      <c r="BE59" s="21">
        <v>0</v>
      </c>
      <c r="BF59" s="21">
        <f>L59</f>
        <v>5.0024999999999995</v>
      </c>
      <c r="BH59" s="21">
        <f>F59*AO59</f>
        <v>0</v>
      </c>
      <c r="BI59" s="21">
        <f>F59*AP59</f>
        <v>0</v>
      </c>
      <c r="BJ59" s="21">
        <f>F59*G59</f>
        <v>0</v>
      </c>
      <c r="BK59" s="21" t="s">
        <v>59</v>
      </c>
      <c r="BL59" s="21">
        <v>56</v>
      </c>
    </row>
    <row r="60" spans="1:14" ht="15">
      <c r="A60" s="2"/>
      <c r="B60" s="27" t="s">
        <v>138</v>
      </c>
      <c r="C60" s="639" t="s">
        <v>143</v>
      </c>
      <c r="D60" s="640"/>
      <c r="E60" s="640"/>
      <c r="F60" s="640"/>
      <c r="G60" s="640"/>
      <c r="H60" s="640"/>
      <c r="I60" s="640"/>
      <c r="J60" s="640"/>
      <c r="K60" s="640"/>
      <c r="L60" s="640"/>
      <c r="M60" s="641"/>
      <c r="N60" s="2"/>
    </row>
    <row r="61" spans="1:14" ht="15">
      <c r="A61" s="2"/>
      <c r="C61" s="24" t="s">
        <v>812</v>
      </c>
      <c r="D61" s="24"/>
      <c r="F61" s="25">
        <v>14.5</v>
      </c>
      <c r="M61" s="26"/>
      <c r="N61" s="2"/>
    </row>
    <row r="62" spans="1:64" ht="15">
      <c r="A62" s="20" t="s">
        <v>128</v>
      </c>
      <c r="B62" s="3" t="s">
        <v>413</v>
      </c>
      <c r="C62" s="618" t="s">
        <v>414</v>
      </c>
      <c r="D62" s="608"/>
      <c r="E62" s="3" t="s">
        <v>54</v>
      </c>
      <c r="F62" s="21">
        <v>14.5</v>
      </c>
      <c r="G62" s="537"/>
      <c r="H62" s="21">
        <f>F62*AO62</f>
        <v>0</v>
      </c>
      <c r="I62" s="21">
        <f>F62*AP62</f>
        <v>0</v>
      </c>
      <c r="J62" s="21">
        <f>F62*G62</f>
        <v>0</v>
      </c>
      <c r="K62" s="21">
        <v>0.23</v>
      </c>
      <c r="L62" s="21">
        <f>F62*K62</f>
        <v>3.335</v>
      </c>
      <c r="M62" s="22" t="s">
        <v>55</v>
      </c>
      <c r="N62" s="2"/>
      <c r="Z62" s="21">
        <f>IF(AQ62="5",BJ62,0)</f>
        <v>0</v>
      </c>
      <c r="AB62" s="21">
        <f>IF(AQ62="1",BH62,0)</f>
        <v>0</v>
      </c>
      <c r="AC62" s="21">
        <f>IF(AQ62="1",BI62,0)</f>
        <v>0</v>
      </c>
      <c r="AD62" s="21">
        <f>IF(AQ62="7",BH62,0)</f>
        <v>0</v>
      </c>
      <c r="AE62" s="21">
        <f>IF(AQ62="7",BI62,0)</f>
        <v>0</v>
      </c>
      <c r="AF62" s="21">
        <f>IF(AQ62="2",BH62,0)</f>
        <v>0</v>
      </c>
      <c r="AG62" s="21">
        <f>IF(AQ62="2",BI62,0)</f>
        <v>0</v>
      </c>
      <c r="AH62" s="21">
        <f>IF(AQ62="0",BJ62,0)</f>
        <v>0</v>
      </c>
      <c r="AI62" s="10"/>
      <c r="AJ62" s="21">
        <f>IF(AN62=0,J62,0)</f>
        <v>0</v>
      </c>
      <c r="AK62" s="21">
        <f>IF(AN62=15,J62,0)</f>
        <v>0</v>
      </c>
      <c r="AL62" s="21">
        <f>IF(AN62=21,J62,0)</f>
        <v>0</v>
      </c>
      <c r="AN62" s="21">
        <v>21</v>
      </c>
      <c r="AO62" s="21">
        <f>G62*0.8</f>
        <v>0</v>
      </c>
      <c r="AP62" s="21">
        <f>G62*(1-0.8)</f>
        <v>0</v>
      </c>
      <c r="AQ62" s="23" t="s">
        <v>51</v>
      </c>
      <c r="AV62" s="21">
        <f>AW62+AX62</f>
        <v>0</v>
      </c>
      <c r="AW62" s="21">
        <f>F62*AO62</f>
        <v>0</v>
      </c>
      <c r="AX62" s="21">
        <f>F62*AP62</f>
        <v>0</v>
      </c>
      <c r="AY62" s="23" t="s">
        <v>136</v>
      </c>
      <c r="AZ62" s="23" t="s">
        <v>137</v>
      </c>
      <c r="BA62" s="10" t="s">
        <v>58</v>
      </c>
      <c r="BC62" s="21">
        <f>AW62+AX62</f>
        <v>0</v>
      </c>
      <c r="BD62" s="21">
        <f>G62/(100-BE62)*100</f>
        <v>0</v>
      </c>
      <c r="BE62" s="21">
        <v>0</v>
      </c>
      <c r="BF62" s="21">
        <f>L62</f>
        <v>3.335</v>
      </c>
      <c r="BH62" s="21">
        <f>F62*AO62</f>
        <v>0</v>
      </c>
      <c r="BI62" s="21">
        <f>F62*AP62</f>
        <v>0</v>
      </c>
      <c r="BJ62" s="21">
        <f>F62*G62</f>
        <v>0</v>
      </c>
      <c r="BK62" s="21" t="s">
        <v>59</v>
      </c>
      <c r="BL62" s="21">
        <v>56</v>
      </c>
    </row>
    <row r="63" spans="1:14" ht="15">
      <c r="A63" s="2"/>
      <c r="B63" s="27" t="s">
        <v>138</v>
      </c>
      <c r="C63" s="639" t="s">
        <v>143</v>
      </c>
      <c r="D63" s="640"/>
      <c r="E63" s="640"/>
      <c r="F63" s="640"/>
      <c r="G63" s="640"/>
      <c r="H63" s="640"/>
      <c r="I63" s="640"/>
      <c r="J63" s="640"/>
      <c r="K63" s="640"/>
      <c r="L63" s="640"/>
      <c r="M63" s="641"/>
      <c r="N63" s="2"/>
    </row>
    <row r="64" spans="1:14" ht="15">
      <c r="A64" s="2"/>
      <c r="C64" s="24" t="s">
        <v>812</v>
      </c>
      <c r="D64" s="24"/>
      <c r="F64" s="25">
        <v>14.5</v>
      </c>
      <c r="M64" s="26"/>
      <c r="N64" s="2"/>
    </row>
    <row r="65" spans="1:47" ht="15">
      <c r="A65" s="41"/>
      <c r="B65" s="42" t="s">
        <v>185</v>
      </c>
      <c r="C65" s="637" t="s">
        <v>186</v>
      </c>
      <c r="D65" s="638"/>
      <c r="E65" s="43" t="s">
        <v>4</v>
      </c>
      <c r="F65" s="43" t="s">
        <v>4</v>
      </c>
      <c r="G65" s="43" t="s">
        <v>4</v>
      </c>
      <c r="H65" s="44">
        <f>SUM(H66:H73)</f>
        <v>0</v>
      </c>
      <c r="I65" s="44">
        <f>SUM(I66:I73)</f>
        <v>0</v>
      </c>
      <c r="J65" s="44">
        <f>SUM(J66:J73)</f>
        <v>0</v>
      </c>
      <c r="K65" s="45"/>
      <c r="L65" s="44">
        <f>SUM(L66:L73)</f>
        <v>2.993345</v>
      </c>
      <c r="M65" s="46"/>
      <c r="N65" s="2"/>
      <c r="AI65" s="10"/>
      <c r="AS65" s="19">
        <f>SUM(AJ66:AJ73)</f>
        <v>0</v>
      </c>
      <c r="AT65" s="19">
        <f>SUM(AK66:AK73)</f>
        <v>0</v>
      </c>
      <c r="AU65" s="19">
        <f>SUM(AL66:AL73)</f>
        <v>0</v>
      </c>
    </row>
    <row r="66" spans="1:64" ht="15">
      <c r="A66" s="20" t="s">
        <v>66</v>
      </c>
      <c r="B66" s="3" t="s">
        <v>233</v>
      </c>
      <c r="C66" s="618" t="s">
        <v>234</v>
      </c>
      <c r="D66" s="608"/>
      <c r="E66" s="3" t="s">
        <v>54</v>
      </c>
      <c r="F66" s="21">
        <v>14.5</v>
      </c>
      <c r="G66" s="537"/>
      <c r="H66" s="21">
        <f>F66*AO66</f>
        <v>0</v>
      </c>
      <c r="I66" s="21">
        <f>F66*AP66</f>
        <v>0</v>
      </c>
      <c r="J66" s="21">
        <f>F66*G66</f>
        <v>0</v>
      </c>
      <c r="K66" s="21">
        <v>0.0739</v>
      </c>
      <c r="L66" s="21">
        <f>F66*K66</f>
        <v>1.07155</v>
      </c>
      <c r="M66" s="22" t="s">
        <v>55</v>
      </c>
      <c r="N66" s="2"/>
      <c r="Z66" s="21">
        <f>IF(AQ66="5",BJ66,0)</f>
        <v>0</v>
      </c>
      <c r="AB66" s="21">
        <f>IF(AQ66="1",BH66,0)</f>
        <v>0</v>
      </c>
      <c r="AC66" s="21">
        <f>IF(AQ66="1",BI66,0)</f>
        <v>0</v>
      </c>
      <c r="AD66" s="21">
        <f>IF(AQ66="7",BH66,0)</f>
        <v>0</v>
      </c>
      <c r="AE66" s="21">
        <f>IF(AQ66="7",BI66,0)</f>
        <v>0</v>
      </c>
      <c r="AF66" s="21">
        <f>IF(AQ66="2",BH66,0)</f>
        <v>0</v>
      </c>
      <c r="AG66" s="21">
        <f>IF(AQ66="2",BI66,0)</f>
        <v>0</v>
      </c>
      <c r="AH66" s="21">
        <f>IF(AQ66="0",BJ66,0)</f>
        <v>0</v>
      </c>
      <c r="AI66" s="10"/>
      <c r="AJ66" s="21">
        <f>IF(AN66=0,J66,0)</f>
        <v>0</v>
      </c>
      <c r="AK66" s="21">
        <f>IF(AN66=15,J66,0)</f>
        <v>0</v>
      </c>
      <c r="AL66" s="21">
        <f>IF(AN66=21,J66,0)</f>
        <v>0</v>
      </c>
      <c r="AN66" s="21">
        <v>21</v>
      </c>
      <c r="AO66" s="21">
        <f>G66*0.152280071813285</f>
        <v>0</v>
      </c>
      <c r="AP66" s="21">
        <f>G66*(1-0.152280071813285)</f>
        <v>0</v>
      </c>
      <c r="AQ66" s="23" t="s">
        <v>51</v>
      </c>
      <c r="AV66" s="21">
        <f>AW66+AX66</f>
        <v>0</v>
      </c>
      <c r="AW66" s="21">
        <f>F66*AO66</f>
        <v>0</v>
      </c>
      <c r="AX66" s="21">
        <f>F66*AP66</f>
        <v>0</v>
      </c>
      <c r="AY66" s="23" t="s">
        <v>190</v>
      </c>
      <c r="AZ66" s="23" t="s">
        <v>137</v>
      </c>
      <c r="BA66" s="10" t="s">
        <v>58</v>
      </c>
      <c r="BC66" s="21">
        <f>AW66+AX66</f>
        <v>0</v>
      </c>
      <c r="BD66" s="21">
        <f>G66/(100-BE66)*100</f>
        <v>0</v>
      </c>
      <c r="BE66" s="21">
        <v>0</v>
      </c>
      <c r="BF66" s="21">
        <f>L66</f>
        <v>1.07155</v>
      </c>
      <c r="BH66" s="21">
        <f>F66*AO66</f>
        <v>0</v>
      </c>
      <c r="BI66" s="21">
        <f>F66*AP66</f>
        <v>0</v>
      </c>
      <c r="BJ66" s="21">
        <f>F66*G66</f>
        <v>0</v>
      </c>
      <c r="BK66" s="21" t="s">
        <v>59</v>
      </c>
      <c r="BL66" s="21">
        <v>59</v>
      </c>
    </row>
    <row r="67" spans="1:14" ht="15">
      <c r="A67" s="2"/>
      <c r="C67" s="24" t="s">
        <v>812</v>
      </c>
      <c r="D67" s="24"/>
      <c r="F67" s="25">
        <v>14.5</v>
      </c>
      <c r="M67" s="26"/>
      <c r="N67" s="2"/>
    </row>
    <row r="68" spans="1:14" ht="25.65" customHeight="1">
      <c r="A68" s="2"/>
      <c r="B68" s="27" t="s">
        <v>61</v>
      </c>
      <c r="C68" s="634" t="s">
        <v>236</v>
      </c>
      <c r="D68" s="635"/>
      <c r="E68" s="635"/>
      <c r="F68" s="635"/>
      <c r="G68" s="635"/>
      <c r="H68" s="635"/>
      <c r="I68" s="635"/>
      <c r="J68" s="635"/>
      <c r="K68" s="635"/>
      <c r="L68" s="635"/>
      <c r="M68" s="636"/>
      <c r="N68" s="2"/>
    </row>
    <row r="69" spans="1:64" ht="15">
      <c r="A69" s="20" t="s">
        <v>92</v>
      </c>
      <c r="B69" s="3" t="s">
        <v>238</v>
      </c>
      <c r="C69" s="618" t="s">
        <v>239</v>
      </c>
      <c r="D69" s="608"/>
      <c r="E69" s="3" t="s">
        <v>54</v>
      </c>
      <c r="F69" s="21">
        <v>14.645</v>
      </c>
      <c r="G69" s="537"/>
      <c r="H69" s="21">
        <f>F69*AO69</f>
        <v>0</v>
      </c>
      <c r="I69" s="21">
        <f>F69*AP69</f>
        <v>0</v>
      </c>
      <c r="J69" s="21">
        <f>F69*G69</f>
        <v>0</v>
      </c>
      <c r="K69" s="21">
        <v>0.131</v>
      </c>
      <c r="L69" s="21">
        <f>F69*K69</f>
        <v>1.918495</v>
      </c>
      <c r="M69" s="22" t="s">
        <v>55</v>
      </c>
      <c r="N69" s="2"/>
      <c r="Z69" s="21">
        <f>IF(AQ69="5",BJ69,0)</f>
        <v>0</v>
      </c>
      <c r="AB69" s="21">
        <f>IF(AQ69="1",BH69,0)</f>
        <v>0</v>
      </c>
      <c r="AC69" s="21">
        <f>IF(AQ69="1",BI69,0)</f>
        <v>0</v>
      </c>
      <c r="AD69" s="21">
        <f>IF(AQ69="7",BH69,0)</f>
        <v>0</v>
      </c>
      <c r="AE69" s="21">
        <f>IF(AQ69="7",BI69,0)</f>
        <v>0</v>
      </c>
      <c r="AF69" s="21">
        <f>IF(AQ69="2",BH69,0)</f>
        <v>0</v>
      </c>
      <c r="AG69" s="21">
        <f>IF(AQ69="2",BI69,0)</f>
        <v>0</v>
      </c>
      <c r="AH69" s="21">
        <f>IF(AQ69="0",BJ69,0)</f>
        <v>0</v>
      </c>
      <c r="AI69" s="10"/>
      <c r="AJ69" s="21">
        <f>IF(AN69=0,J69,0)</f>
        <v>0</v>
      </c>
      <c r="AK69" s="21">
        <f>IF(AN69=15,J69,0)</f>
        <v>0</v>
      </c>
      <c r="AL69" s="21">
        <f>IF(AN69=21,J69,0)</f>
        <v>0</v>
      </c>
      <c r="AN69" s="21">
        <v>21</v>
      </c>
      <c r="AO69" s="21">
        <f>G69*1</f>
        <v>0</v>
      </c>
      <c r="AP69" s="21">
        <f>G69*(1-1)</f>
        <v>0</v>
      </c>
      <c r="AQ69" s="23" t="s">
        <v>51</v>
      </c>
      <c r="AV69" s="21">
        <f>AW69+AX69</f>
        <v>0</v>
      </c>
      <c r="AW69" s="21">
        <f>F69*AO69</f>
        <v>0</v>
      </c>
      <c r="AX69" s="21">
        <f>F69*AP69</f>
        <v>0</v>
      </c>
      <c r="AY69" s="23" t="s">
        <v>190</v>
      </c>
      <c r="AZ69" s="23" t="s">
        <v>137</v>
      </c>
      <c r="BA69" s="10" t="s">
        <v>58</v>
      </c>
      <c r="BC69" s="21">
        <f>AW69+AX69</f>
        <v>0</v>
      </c>
      <c r="BD69" s="21">
        <f>G69/(100-BE69)*100</f>
        <v>0</v>
      </c>
      <c r="BE69" s="21">
        <v>0</v>
      </c>
      <c r="BF69" s="21">
        <f>L69</f>
        <v>1.918495</v>
      </c>
      <c r="BH69" s="21">
        <f>F69*AO69</f>
        <v>0</v>
      </c>
      <c r="BI69" s="21">
        <f>F69*AP69</f>
        <v>0</v>
      </c>
      <c r="BJ69" s="21">
        <f>F69*G69</f>
        <v>0</v>
      </c>
      <c r="BK69" s="21" t="s">
        <v>201</v>
      </c>
      <c r="BL69" s="21">
        <v>59</v>
      </c>
    </row>
    <row r="70" spans="1:14" ht="15">
      <c r="A70" s="2"/>
      <c r="C70" s="24" t="s">
        <v>812</v>
      </c>
      <c r="D70" s="24"/>
      <c r="F70" s="25">
        <v>14.5</v>
      </c>
      <c r="M70" s="26"/>
      <c r="N70" s="2"/>
    </row>
    <row r="71" spans="1:14" ht="15">
      <c r="A71" s="2"/>
      <c r="C71" s="24" t="s">
        <v>847</v>
      </c>
      <c r="D71" s="24"/>
      <c r="F71" s="25">
        <v>0.145</v>
      </c>
      <c r="M71" s="26"/>
      <c r="N71" s="2"/>
    </row>
    <row r="72" spans="1:14" ht="15">
      <c r="A72" s="2"/>
      <c r="B72" s="27" t="s">
        <v>61</v>
      </c>
      <c r="C72" s="634" t="s">
        <v>242</v>
      </c>
      <c r="D72" s="635"/>
      <c r="E72" s="635"/>
      <c r="F72" s="635"/>
      <c r="G72" s="635"/>
      <c r="H72" s="635"/>
      <c r="I72" s="635"/>
      <c r="J72" s="635"/>
      <c r="K72" s="635"/>
      <c r="L72" s="635"/>
      <c r="M72" s="636"/>
      <c r="N72" s="2"/>
    </row>
    <row r="73" spans="1:64" ht="15">
      <c r="A73" s="20" t="s">
        <v>102</v>
      </c>
      <c r="B73" s="3" t="s">
        <v>254</v>
      </c>
      <c r="C73" s="618" t="s">
        <v>255</v>
      </c>
      <c r="D73" s="608"/>
      <c r="E73" s="3" t="s">
        <v>74</v>
      </c>
      <c r="F73" s="21">
        <v>10</v>
      </c>
      <c r="G73" s="537"/>
      <c r="H73" s="21">
        <f>F73*AO73</f>
        <v>0</v>
      </c>
      <c r="I73" s="21">
        <f>F73*AP73</f>
        <v>0</v>
      </c>
      <c r="J73" s="21">
        <f>F73*G73</f>
        <v>0</v>
      </c>
      <c r="K73" s="21">
        <v>0.00033</v>
      </c>
      <c r="L73" s="21">
        <f>F73*K73</f>
        <v>0.0033</v>
      </c>
      <c r="M73" s="22" t="s">
        <v>55</v>
      </c>
      <c r="N73" s="2"/>
      <c r="Z73" s="21">
        <f>IF(AQ73="5",BJ73,0)</f>
        <v>0</v>
      </c>
      <c r="AB73" s="21">
        <f>IF(AQ73="1",BH73,0)</f>
        <v>0</v>
      </c>
      <c r="AC73" s="21">
        <f>IF(AQ73="1",BI73,0)</f>
        <v>0</v>
      </c>
      <c r="AD73" s="21">
        <f>IF(AQ73="7",BH73,0)</f>
        <v>0</v>
      </c>
      <c r="AE73" s="21">
        <f>IF(AQ73="7",BI73,0)</f>
        <v>0</v>
      </c>
      <c r="AF73" s="21">
        <f>IF(AQ73="2",BH73,0)</f>
        <v>0</v>
      </c>
      <c r="AG73" s="21">
        <f>IF(AQ73="2",BI73,0)</f>
        <v>0</v>
      </c>
      <c r="AH73" s="21">
        <f>IF(AQ73="0",BJ73,0)</f>
        <v>0</v>
      </c>
      <c r="AI73" s="10"/>
      <c r="AJ73" s="21">
        <f>IF(AN73=0,J73,0)</f>
        <v>0</v>
      </c>
      <c r="AK73" s="21">
        <f>IF(AN73=15,J73,0)</f>
        <v>0</v>
      </c>
      <c r="AL73" s="21">
        <f>IF(AN73=21,J73,0)</f>
        <v>0</v>
      </c>
      <c r="AN73" s="21">
        <v>21</v>
      </c>
      <c r="AO73" s="21">
        <f>G73*0.0594343434343434</f>
        <v>0</v>
      </c>
      <c r="AP73" s="21">
        <f>G73*(1-0.0594343434343434)</f>
        <v>0</v>
      </c>
      <c r="AQ73" s="23" t="s">
        <v>51</v>
      </c>
      <c r="AV73" s="21">
        <f>AW73+AX73</f>
        <v>0</v>
      </c>
      <c r="AW73" s="21">
        <f>F73*AO73</f>
        <v>0</v>
      </c>
      <c r="AX73" s="21">
        <f>F73*AP73</f>
        <v>0</v>
      </c>
      <c r="AY73" s="23" t="s">
        <v>190</v>
      </c>
      <c r="AZ73" s="23" t="s">
        <v>137</v>
      </c>
      <c r="BA73" s="10" t="s">
        <v>58</v>
      </c>
      <c r="BC73" s="21">
        <f>AW73+AX73</f>
        <v>0</v>
      </c>
      <c r="BD73" s="21">
        <f>G73/(100-BE73)*100</f>
        <v>0</v>
      </c>
      <c r="BE73" s="21">
        <v>0</v>
      </c>
      <c r="BF73" s="21">
        <f>L73</f>
        <v>0.0033</v>
      </c>
      <c r="BH73" s="21">
        <f>F73*AO73</f>
        <v>0</v>
      </c>
      <c r="BI73" s="21">
        <f>F73*AP73</f>
        <v>0</v>
      </c>
      <c r="BJ73" s="21">
        <f>F73*G73</f>
        <v>0</v>
      </c>
      <c r="BK73" s="21" t="s">
        <v>59</v>
      </c>
      <c r="BL73" s="21">
        <v>59</v>
      </c>
    </row>
    <row r="74" spans="1:14" ht="15">
      <c r="A74" s="2"/>
      <c r="C74" s="24" t="s">
        <v>104</v>
      </c>
      <c r="D74" s="24"/>
      <c r="F74" s="25">
        <v>10</v>
      </c>
      <c r="M74" s="26"/>
      <c r="N74" s="2"/>
    </row>
    <row r="75" spans="1:47" ht="15">
      <c r="A75" s="41"/>
      <c r="B75" s="42" t="s">
        <v>294</v>
      </c>
      <c r="C75" s="637" t="s">
        <v>295</v>
      </c>
      <c r="D75" s="638"/>
      <c r="E75" s="43" t="s">
        <v>4</v>
      </c>
      <c r="F75" s="43" t="s">
        <v>4</v>
      </c>
      <c r="G75" s="43" t="s">
        <v>4</v>
      </c>
      <c r="H75" s="44">
        <f>SUM(H76:H76)</f>
        <v>0</v>
      </c>
      <c r="I75" s="44">
        <f>SUM(I76:I76)</f>
        <v>0</v>
      </c>
      <c r="J75" s="44">
        <f>SUM(J76:J76)</f>
        <v>0</v>
      </c>
      <c r="K75" s="45"/>
      <c r="L75" s="44">
        <f>SUM(L76:L76)</f>
        <v>0.516375</v>
      </c>
      <c r="M75" s="46"/>
      <c r="N75" s="2"/>
      <c r="AI75" s="10"/>
      <c r="AS75" s="19">
        <f>SUM(AJ76:AJ76)</f>
        <v>0</v>
      </c>
      <c r="AT75" s="19">
        <f>SUM(AK76:AK76)</f>
        <v>0</v>
      </c>
      <c r="AU75" s="19">
        <f>SUM(AL76:AL76)</f>
        <v>0</v>
      </c>
    </row>
    <row r="76" spans="1:64" ht="15">
      <c r="A76" s="20" t="s">
        <v>114</v>
      </c>
      <c r="B76" s="3" t="s">
        <v>785</v>
      </c>
      <c r="C76" s="618" t="s">
        <v>848</v>
      </c>
      <c r="D76" s="608"/>
      <c r="E76" s="3" t="s">
        <v>74</v>
      </c>
      <c r="F76" s="21">
        <v>12.5</v>
      </c>
      <c r="G76" s="537"/>
      <c r="H76" s="21">
        <f>F76*AO76</f>
        <v>0</v>
      </c>
      <c r="I76" s="21">
        <f>F76*AP76</f>
        <v>0</v>
      </c>
      <c r="J76" s="21">
        <f>F76*G76</f>
        <v>0</v>
      </c>
      <c r="K76" s="21">
        <v>0.04131</v>
      </c>
      <c r="L76" s="21">
        <f>F76*K76</f>
        <v>0.516375</v>
      </c>
      <c r="M76" s="539" t="s">
        <v>2130</v>
      </c>
      <c r="N76" s="2"/>
      <c r="Z76" s="21">
        <f>IF(AQ76="5",BJ76,0)</f>
        <v>0</v>
      </c>
      <c r="AB76" s="21">
        <f>IF(AQ76="1",BH76,0)</f>
        <v>0</v>
      </c>
      <c r="AC76" s="21">
        <f>IF(AQ76="1",BI76,0)</f>
        <v>0</v>
      </c>
      <c r="AD76" s="21">
        <f>IF(AQ76="7",BH76,0)</f>
        <v>0</v>
      </c>
      <c r="AE76" s="21">
        <f>IF(AQ76="7",BI76,0)</f>
        <v>0</v>
      </c>
      <c r="AF76" s="21">
        <f>IF(AQ76="2",BH76,0)</f>
        <v>0</v>
      </c>
      <c r="AG76" s="21">
        <f>IF(AQ76="2",BI76,0)</f>
        <v>0</v>
      </c>
      <c r="AH76" s="21">
        <f>IF(AQ76="0",BJ76,0)</f>
        <v>0</v>
      </c>
      <c r="AI76" s="10"/>
      <c r="AJ76" s="21">
        <f>IF(AN76=0,J76,0)</f>
        <v>0</v>
      </c>
      <c r="AK76" s="21">
        <f>IF(AN76=15,J76,0)</f>
        <v>0</v>
      </c>
      <c r="AL76" s="21">
        <f>IF(AN76=21,J76,0)</f>
        <v>0</v>
      </c>
      <c r="AN76" s="21">
        <v>21</v>
      </c>
      <c r="AO76" s="21">
        <f>G76*0.781669230769231</f>
        <v>0</v>
      </c>
      <c r="AP76" s="21">
        <f>G76*(1-0.781669230769231)</f>
        <v>0</v>
      </c>
      <c r="AQ76" s="23" t="s">
        <v>51</v>
      </c>
      <c r="AV76" s="21">
        <f>AW76+AX76</f>
        <v>0</v>
      </c>
      <c r="AW76" s="21">
        <f>F76*AO76</f>
        <v>0</v>
      </c>
      <c r="AX76" s="21">
        <f>F76*AP76</f>
        <v>0</v>
      </c>
      <c r="AY76" s="23" t="s">
        <v>299</v>
      </c>
      <c r="AZ76" s="23" t="s">
        <v>300</v>
      </c>
      <c r="BA76" s="10" t="s">
        <v>58</v>
      </c>
      <c r="BC76" s="21">
        <f>AW76+AX76</f>
        <v>0</v>
      </c>
      <c r="BD76" s="21">
        <f>G76/(100-BE76)*100</f>
        <v>0</v>
      </c>
      <c r="BE76" s="21">
        <v>0</v>
      </c>
      <c r="BF76" s="21">
        <f>L76</f>
        <v>0.516375</v>
      </c>
      <c r="BH76" s="21">
        <f>F76*AO76</f>
        <v>0</v>
      </c>
      <c r="BI76" s="21">
        <f>F76*AP76</f>
        <v>0</v>
      </c>
      <c r="BJ76" s="21">
        <f>F76*G76</f>
        <v>0</v>
      </c>
      <c r="BK76" s="21" t="s">
        <v>59</v>
      </c>
      <c r="BL76" s="21">
        <v>91</v>
      </c>
    </row>
    <row r="77" spans="1:14" ht="15">
      <c r="A77" s="2"/>
      <c r="C77" s="24" t="s">
        <v>849</v>
      </c>
      <c r="D77" s="24"/>
      <c r="F77" s="25">
        <v>12.5</v>
      </c>
      <c r="M77" s="26"/>
      <c r="N77" s="2"/>
    </row>
    <row r="78" spans="1:47" ht="15">
      <c r="A78" s="41"/>
      <c r="B78" s="42" t="s">
        <v>424</v>
      </c>
      <c r="C78" s="637" t="s">
        <v>425</v>
      </c>
      <c r="D78" s="638"/>
      <c r="E78" s="43" t="s">
        <v>4</v>
      </c>
      <c r="F78" s="43" t="s">
        <v>4</v>
      </c>
      <c r="G78" s="43" t="s">
        <v>4</v>
      </c>
      <c r="H78" s="44">
        <f>SUM(H79:H79)</f>
        <v>0</v>
      </c>
      <c r="I78" s="44">
        <f>SUM(I79:I79)</f>
        <v>0</v>
      </c>
      <c r="J78" s="44">
        <f>SUM(J79:J79)</f>
        <v>0</v>
      </c>
      <c r="K78" s="45"/>
      <c r="L78" s="44">
        <f>SUM(L79:L79)</f>
        <v>0</v>
      </c>
      <c r="M78" s="46"/>
      <c r="N78" s="2"/>
      <c r="AI78" s="10"/>
      <c r="AS78" s="19">
        <f>SUM(AJ79:AJ79)</f>
        <v>0</v>
      </c>
      <c r="AT78" s="19">
        <f>SUM(AK79:AK79)</f>
        <v>0</v>
      </c>
      <c r="AU78" s="19">
        <f>SUM(AL79:AL79)</f>
        <v>0</v>
      </c>
    </row>
    <row r="79" spans="1:64" ht="15">
      <c r="A79" s="28" t="s">
        <v>121</v>
      </c>
      <c r="B79" s="29" t="s">
        <v>426</v>
      </c>
      <c r="C79" s="642" t="s">
        <v>427</v>
      </c>
      <c r="D79" s="643"/>
      <c r="E79" s="29" t="s">
        <v>125</v>
      </c>
      <c r="F79" s="30">
        <v>22.21232</v>
      </c>
      <c r="G79" s="538"/>
      <c r="H79" s="30">
        <f>F79*AO79</f>
        <v>0</v>
      </c>
      <c r="I79" s="30">
        <f>F79*AP79</f>
        <v>0</v>
      </c>
      <c r="J79" s="30">
        <f>F79*G79</f>
        <v>0</v>
      </c>
      <c r="K79" s="30">
        <v>0</v>
      </c>
      <c r="L79" s="30">
        <f>F79*K79</f>
        <v>0</v>
      </c>
      <c r="M79" s="31" t="s">
        <v>55</v>
      </c>
      <c r="N79" s="2"/>
      <c r="Z79" s="21">
        <f>IF(AQ79="5",BJ79,0)</f>
        <v>0</v>
      </c>
      <c r="AB79" s="21">
        <f>IF(AQ79="1",BH79,0)</f>
        <v>0</v>
      </c>
      <c r="AC79" s="21">
        <f>IF(AQ79="1",BI79,0)</f>
        <v>0</v>
      </c>
      <c r="AD79" s="21">
        <f>IF(AQ79="7",BH79,0)</f>
        <v>0</v>
      </c>
      <c r="AE79" s="21">
        <f>IF(AQ79="7",BI79,0)</f>
        <v>0</v>
      </c>
      <c r="AF79" s="21">
        <f>IF(AQ79="2",BH79,0)</f>
        <v>0</v>
      </c>
      <c r="AG79" s="21">
        <f>IF(AQ79="2",BI79,0)</f>
        <v>0</v>
      </c>
      <c r="AH79" s="21">
        <f>IF(AQ79="0",BJ79,0)</f>
        <v>0</v>
      </c>
      <c r="AI79" s="10"/>
      <c r="AJ79" s="21">
        <f>IF(AN79=0,J79,0)</f>
        <v>0</v>
      </c>
      <c r="AK79" s="21">
        <f>IF(AN79=15,J79,0)</f>
        <v>0</v>
      </c>
      <c r="AL79" s="21">
        <f>IF(AN79=21,J79,0)</f>
        <v>0</v>
      </c>
      <c r="AN79" s="21">
        <v>21</v>
      </c>
      <c r="AO79" s="21">
        <f>G79*0</f>
        <v>0</v>
      </c>
      <c r="AP79" s="21">
        <f>G79*(1-0)</f>
        <v>0</v>
      </c>
      <c r="AQ79" s="23" t="s">
        <v>78</v>
      </c>
      <c r="AV79" s="21">
        <f>AW79+AX79</f>
        <v>0</v>
      </c>
      <c r="AW79" s="21">
        <f>F79*AO79</f>
        <v>0</v>
      </c>
      <c r="AX79" s="21">
        <f>F79*AP79</f>
        <v>0</v>
      </c>
      <c r="AY79" s="23" t="s">
        <v>428</v>
      </c>
      <c r="AZ79" s="23" t="s">
        <v>300</v>
      </c>
      <c r="BA79" s="10" t="s">
        <v>58</v>
      </c>
      <c r="BC79" s="21">
        <f>AW79+AX79</f>
        <v>0</v>
      </c>
      <c r="BD79" s="21">
        <f>G79/(100-BE79)*100</f>
        <v>0</v>
      </c>
      <c r="BE79" s="21">
        <v>0</v>
      </c>
      <c r="BF79" s="21">
        <f>L79</f>
        <v>0</v>
      </c>
      <c r="BH79" s="21">
        <f>F79*AO79</f>
        <v>0</v>
      </c>
      <c r="BI79" s="21">
        <f>F79*AP79</f>
        <v>0</v>
      </c>
      <c r="BJ79" s="21">
        <f>F79*G79</f>
        <v>0</v>
      </c>
      <c r="BK79" s="21" t="s">
        <v>59</v>
      </c>
      <c r="BL79" s="21" t="s">
        <v>424</v>
      </c>
    </row>
    <row r="80" spans="1:13" ht="15">
      <c r="A80" s="32"/>
      <c r="B80" s="32"/>
      <c r="C80" s="32"/>
      <c r="D80" s="32"/>
      <c r="E80" s="32"/>
      <c r="F80" s="32"/>
      <c r="G80" s="32"/>
      <c r="H80" s="644" t="s">
        <v>397</v>
      </c>
      <c r="I80" s="610"/>
      <c r="J80" s="33">
        <f>J12+J19+J22+J29+J33+J36+J40+J53+J58+J65+J75+J78</f>
        <v>0</v>
      </c>
      <c r="K80" s="32"/>
      <c r="L80" s="32"/>
      <c r="M80" s="32"/>
    </row>
    <row r="81" ht="11.25" customHeight="1">
      <c r="A81" s="34" t="s">
        <v>398</v>
      </c>
    </row>
    <row r="82" spans="1:13" ht="15">
      <c r="A82" s="617"/>
      <c r="B82" s="608"/>
      <c r="C82" s="608"/>
      <c r="D82" s="608"/>
      <c r="E82" s="608"/>
      <c r="F82" s="608"/>
      <c r="G82" s="608"/>
      <c r="H82" s="608"/>
      <c r="I82" s="608"/>
      <c r="J82" s="608"/>
      <c r="K82" s="608"/>
      <c r="L82" s="608"/>
      <c r="M82" s="608"/>
    </row>
  </sheetData>
  <sheetProtection algorithmName="SHA-512" hashValue="BvFsjSaCGhmTRFtQ1HV9m3hN8maMJ2n0BiYKouyo1vFs7KnNo+zbzyKfOgCD2F6boLpM0gTAl4CKSYJJv9zXuQ==" saltValue="7SMLY0F+dhPC3VSph1n5zA==" spinCount="100000" sheet="1" objects="1" scenarios="1"/>
  <mergeCells count="79">
    <mergeCell ref="I4:M5"/>
    <mergeCell ref="A1:M1"/>
    <mergeCell ref="A2:B3"/>
    <mergeCell ref="C2:D3"/>
    <mergeCell ref="E2:F3"/>
    <mergeCell ref="G2:G3"/>
    <mergeCell ref="H2:H3"/>
    <mergeCell ref="I2:M3"/>
    <mergeCell ref="A4:B5"/>
    <mergeCell ref="C4:D5"/>
    <mergeCell ref="E4:F5"/>
    <mergeCell ref="G4:G5"/>
    <mergeCell ref="H4:H5"/>
    <mergeCell ref="H8:H9"/>
    <mergeCell ref="I8:M9"/>
    <mergeCell ref="A6:B7"/>
    <mergeCell ref="C6:D7"/>
    <mergeCell ref="E6:F7"/>
    <mergeCell ref="G6:G7"/>
    <mergeCell ref="H6:H7"/>
    <mergeCell ref="I6:M7"/>
    <mergeCell ref="C13:D13"/>
    <mergeCell ref="A8:B9"/>
    <mergeCell ref="C8:D9"/>
    <mergeCell ref="E8:F9"/>
    <mergeCell ref="G8:G9"/>
    <mergeCell ref="C10:D10"/>
    <mergeCell ref="H10:J10"/>
    <mergeCell ref="K10:L10"/>
    <mergeCell ref="C11:D11"/>
    <mergeCell ref="C12:D12"/>
    <mergeCell ref="C30:D30"/>
    <mergeCell ref="C15:M15"/>
    <mergeCell ref="C16:D16"/>
    <mergeCell ref="C18:M18"/>
    <mergeCell ref="C19:D19"/>
    <mergeCell ref="C20:D20"/>
    <mergeCell ref="C22:D22"/>
    <mergeCell ref="C23:D23"/>
    <mergeCell ref="C25:M25"/>
    <mergeCell ref="C26:D26"/>
    <mergeCell ref="C28:M28"/>
    <mergeCell ref="C29:D29"/>
    <mergeCell ref="C48:M48"/>
    <mergeCell ref="C32:M32"/>
    <mergeCell ref="C33:D33"/>
    <mergeCell ref="C34:D34"/>
    <mergeCell ref="C36:D36"/>
    <mergeCell ref="C37:D37"/>
    <mergeCell ref="C39:M39"/>
    <mergeCell ref="C40:D40"/>
    <mergeCell ref="C41:D41"/>
    <mergeCell ref="C42:M42"/>
    <mergeCell ref="C44:M44"/>
    <mergeCell ref="C45:D45"/>
    <mergeCell ref="C63:M63"/>
    <mergeCell ref="C49:D49"/>
    <mergeCell ref="C50:M50"/>
    <mergeCell ref="C52:M52"/>
    <mergeCell ref="C53:D53"/>
    <mergeCell ref="C54:D54"/>
    <mergeCell ref="C55:M55"/>
    <mergeCell ref="C57:M57"/>
    <mergeCell ref="C58:D58"/>
    <mergeCell ref="C59:D59"/>
    <mergeCell ref="C60:M60"/>
    <mergeCell ref="C62:D62"/>
    <mergeCell ref="A82:M82"/>
    <mergeCell ref="C65:D65"/>
    <mergeCell ref="C66:D66"/>
    <mergeCell ref="C68:M68"/>
    <mergeCell ref="C69:D69"/>
    <mergeCell ref="C72:M72"/>
    <mergeCell ref="C73:D73"/>
    <mergeCell ref="C75:D75"/>
    <mergeCell ref="C76:D76"/>
    <mergeCell ref="C78:D78"/>
    <mergeCell ref="C79:D79"/>
    <mergeCell ref="H80:I80"/>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68" r:id="rId1"/>
  <headerFooter>
    <oddFooter>&amp;CStrana &amp;P z &amp;N</oddFooter>
  </headerFooter>
  <rowBreaks count="1" manualBreakCount="1">
    <brk id="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9B109-DADC-4764-B0D1-843DB2AC80D0}">
  <sheetPr>
    <pageSetUpPr fitToPage="1"/>
  </sheetPr>
  <dimension ref="C3:BM127"/>
  <sheetViews>
    <sheetView showGridLines="0" tabSelected="1" view="pageBreakPreview" zoomScale="115" zoomScaleSheetLayoutView="115" workbookViewId="0" topLeftCell="A1">
      <selection activeCell="F114" sqref="F114"/>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10.2812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97" width="9.140625" style="0" hidden="1" customWidth="1"/>
  </cols>
  <sheetData>
    <row r="3" s="48" customFormat="1" ht="6.9" customHeight="1">
      <c r="K3" s="51"/>
    </row>
    <row r="4" s="48" customFormat="1" ht="24.9" customHeight="1">
      <c r="C4" s="196" t="s">
        <v>864</v>
      </c>
    </row>
    <row r="5" s="48" customFormat="1" ht="6.9" customHeight="1"/>
    <row r="6" s="48" customFormat="1" ht="12" customHeight="1">
      <c r="C6" s="197" t="s">
        <v>851</v>
      </c>
    </row>
    <row r="7" spans="5:8" s="48" customFormat="1" ht="26.25" customHeight="1">
      <c r="E7" s="645" t="s">
        <v>1192</v>
      </c>
      <c r="F7" s="646"/>
      <c r="G7" s="646"/>
      <c r="H7" s="646"/>
    </row>
    <row r="8" s="48" customFormat="1" ht="12" customHeight="1">
      <c r="C8" s="197" t="s">
        <v>852</v>
      </c>
    </row>
    <row r="9" spans="5:8" s="48" customFormat="1" ht="30" customHeight="1">
      <c r="E9" s="647" t="s">
        <v>853</v>
      </c>
      <c r="F9" s="648"/>
      <c r="G9" s="648"/>
      <c r="H9" s="648"/>
    </row>
    <row r="10" s="48" customFormat="1" ht="6.9" customHeight="1"/>
    <row r="11" spans="3:10" s="48" customFormat="1" ht="12" customHeight="1">
      <c r="C11" s="197" t="s">
        <v>855</v>
      </c>
      <c r="F11" s="198"/>
      <c r="I11" s="197" t="s">
        <v>856</v>
      </c>
      <c r="J11" s="199"/>
    </row>
    <row r="12" s="48" customFormat="1" ht="6.9" customHeight="1"/>
    <row r="13" spans="3:10" s="48" customFormat="1" ht="15.15" customHeight="1">
      <c r="C13" s="197" t="s">
        <v>857</v>
      </c>
      <c r="F13" s="198"/>
      <c r="I13" s="197" t="s">
        <v>10</v>
      </c>
      <c r="J13" s="200"/>
    </row>
    <row r="14" spans="3:10" s="48" customFormat="1" ht="15.15" customHeight="1">
      <c r="C14" s="197" t="s">
        <v>15</v>
      </c>
      <c r="F14" s="534"/>
      <c r="I14" s="197" t="s">
        <v>858</v>
      </c>
      <c r="J14" s="200"/>
    </row>
    <row r="15" s="48" customFormat="1" ht="10.35" customHeight="1"/>
    <row r="16" spans="3:20" s="59" customFormat="1" ht="29.25" customHeight="1">
      <c r="C16" s="52" t="s">
        <v>865</v>
      </c>
      <c r="D16" s="53" t="s">
        <v>866</v>
      </c>
      <c r="E16" s="53" t="s">
        <v>20</v>
      </c>
      <c r="F16" s="53" t="s">
        <v>867</v>
      </c>
      <c r="G16" s="53" t="s">
        <v>22</v>
      </c>
      <c r="H16" s="53" t="s">
        <v>23</v>
      </c>
      <c r="I16" s="53" t="s">
        <v>868</v>
      </c>
      <c r="J16" s="54" t="s">
        <v>862</v>
      </c>
      <c r="K16" s="55" t="s">
        <v>869</v>
      </c>
      <c r="L16" s="535" t="s">
        <v>2475</v>
      </c>
      <c r="M16" s="57" t="s">
        <v>854</v>
      </c>
      <c r="N16" s="57" t="s">
        <v>859</v>
      </c>
      <c r="O16" s="57" t="s">
        <v>870</v>
      </c>
      <c r="P16" s="57" t="s">
        <v>871</v>
      </c>
      <c r="Q16" s="57" t="s">
        <v>872</v>
      </c>
      <c r="R16" s="57" t="s">
        <v>873</v>
      </c>
      <c r="S16" s="57" t="s">
        <v>874</v>
      </c>
      <c r="T16" s="58" t="s">
        <v>875</v>
      </c>
    </row>
    <row r="17" spans="3:63" s="48" customFormat="1" ht="22.95" customHeight="1">
      <c r="C17" s="201" t="s">
        <v>876</v>
      </c>
      <c r="J17" s="202">
        <f>BK17</f>
        <v>0</v>
      </c>
      <c r="M17" s="49"/>
      <c r="N17" s="49"/>
      <c r="O17" s="49"/>
      <c r="P17" s="61">
        <f>P18+P119</f>
        <v>2868.146684</v>
      </c>
      <c r="Q17" s="49"/>
      <c r="R17" s="61">
        <f>R18+R119</f>
        <v>272.302865</v>
      </c>
      <c r="S17" s="49"/>
      <c r="T17" s="62">
        <f>T18+T119</f>
        <v>45.1704</v>
      </c>
      <c r="AT17" s="47" t="s">
        <v>877</v>
      </c>
      <c r="AU17" s="47" t="s">
        <v>863</v>
      </c>
      <c r="BK17" s="63">
        <f>BK18+BK119</f>
        <v>0</v>
      </c>
    </row>
    <row r="18" spans="4:63" s="64" customFormat="1" ht="25.95" customHeight="1">
      <c r="D18" s="65" t="s">
        <v>877</v>
      </c>
      <c r="E18" s="203" t="s">
        <v>878</v>
      </c>
      <c r="F18" s="203" t="s">
        <v>879</v>
      </c>
      <c r="J18" s="204">
        <f>BK18</f>
        <v>0</v>
      </c>
      <c r="P18" s="67">
        <f>P19+P34+P37+P45+P107+P111+P117</f>
        <v>2868.146684</v>
      </c>
      <c r="R18" s="67">
        <f>R19+R34+R37+R45+R107+R111+R117</f>
        <v>272.302865</v>
      </c>
      <c r="T18" s="68">
        <f>T19+T34+T37+T45+T107+T111+T117</f>
        <v>45.1704</v>
      </c>
      <c r="AR18" s="65" t="s">
        <v>51</v>
      </c>
      <c r="AT18" s="69" t="s">
        <v>877</v>
      </c>
      <c r="AU18" s="69" t="s">
        <v>880</v>
      </c>
      <c r="AY18" s="65" t="s">
        <v>881</v>
      </c>
      <c r="BK18" s="70">
        <f>BK19+BK34+BK37+BK45+BK107+BK111+BK117</f>
        <v>0</v>
      </c>
    </row>
    <row r="19" spans="4:63" s="64" customFormat="1" ht="22.95" customHeight="1">
      <c r="D19" s="65" t="s">
        <v>877</v>
      </c>
      <c r="E19" s="205" t="s">
        <v>51</v>
      </c>
      <c r="F19" s="205" t="s">
        <v>882</v>
      </c>
      <c r="J19" s="206">
        <f>BK19</f>
        <v>0</v>
      </c>
      <c r="P19" s="67">
        <f>SUM(P20:P33)</f>
        <v>1571.489</v>
      </c>
      <c r="R19" s="67">
        <f>SUM(R20:R33)</f>
        <v>170.69808</v>
      </c>
      <c r="T19" s="68">
        <f>SUM(T20:T33)</f>
        <v>44.95</v>
      </c>
      <c r="AR19" s="65" t="s">
        <v>51</v>
      </c>
      <c r="AT19" s="69" t="s">
        <v>877</v>
      </c>
      <c r="AU19" s="69" t="s">
        <v>51</v>
      </c>
      <c r="AY19" s="65" t="s">
        <v>881</v>
      </c>
      <c r="BK19" s="70">
        <f>SUM(BK20:BK33)</f>
        <v>0</v>
      </c>
    </row>
    <row r="20" spans="3:65" s="48" customFormat="1" ht="24.15" customHeight="1">
      <c r="C20" s="79" t="s">
        <v>51</v>
      </c>
      <c r="D20" s="79" t="s">
        <v>883</v>
      </c>
      <c r="E20" s="80" t="s">
        <v>884</v>
      </c>
      <c r="F20" s="81" t="s">
        <v>885</v>
      </c>
      <c r="G20" s="82" t="s">
        <v>54</v>
      </c>
      <c r="H20" s="83">
        <v>30</v>
      </c>
      <c r="I20" s="527"/>
      <c r="J20" s="84">
        <f aca="true" t="shared" si="0" ref="J20:J33">ROUND(I20*H20,2)</f>
        <v>0</v>
      </c>
      <c r="K20" s="521"/>
      <c r="L20" s="533" t="s">
        <v>2474</v>
      </c>
      <c r="M20" s="530" t="s">
        <v>854</v>
      </c>
      <c r="N20" s="72" t="s">
        <v>861</v>
      </c>
      <c r="O20" s="73">
        <v>0.344</v>
      </c>
      <c r="P20" s="73">
        <f aca="true" t="shared" si="1" ref="P20:P33">O20*H20</f>
        <v>10.319999999999999</v>
      </c>
      <c r="Q20" s="73">
        <v>0</v>
      </c>
      <c r="R20" s="73">
        <f aca="true" t="shared" si="2" ref="R20:R33">Q20*H20</f>
        <v>0</v>
      </c>
      <c r="S20" s="73">
        <v>0.295</v>
      </c>
      <c r="T20" s="74">
        <f aca="true" t="shared" si="3" ref="T20:T33">S20*H20</f>
        <v>8.85</v>
      </c>
      <c r="AR20" s="75" t="s">
        <v>71</v>
      </c>
      <c r="AT20" s="75" t="s">
        <v>883</v>
      </c>
      <c r="AU20" s="75" t="s">
        <v>63</v>
      </c>
      <c r="AY20" s="47" t="s">
        <v>881</v>
      </c>
      <c r="BE20" s="76">
        <f aca="true" t="shared" si="4" ref="BE20:BE33">IF(N20="základní",J20,0)</f>
        <v>0</v>
      </c>
      <c r="BF20" s="76">
        <f aca="true" t="shared" si="5" ref="BF20:BF33">IF(N20="snížená",J20,0)</f>
        <v>0</v>
      </c>
      <c r="BG20" s="76">
        <f aca="true" t="shared" si="6" ref="BG20:BG33">IF(N20="zákl. přenesená",J20,0)</f>
        <v>0</v>
      </c>
      <c r="BH20" s="76">
        <f aca="true" t="shared" si="7" ref="BH20:BH33">IF(N20="sníž. přenesená",J20,0)</f>
        <v>0</v>
      </c>
      <c r="BI20" s="76">
        <f aca="true" t="shared" si="8" ref="BI20:BI33">IF(N20="nulová",J20,0)</f>
        <v>0</v>
      </c>
      <c r="BJ20" s="47" t="s">
        <v>63</v>
      </c>
      <c r="BK20" s="76">
        <f aca="true" t="shared" si="9" ref="BK20:BK33">ROUND(I20*H20,2)</f>
        <v>0</v>
      </c>
      <c r="BL20" s="47" t="s">
        <v>71</v>
      </c>
      <c r="BM20" s="75" t="s">
        <v>886</v>
      </c>
    </row>
    <row r="21" spans="3:65" s="48" customFormat="1" ht="33" customHeight="1">
      <c r="C21" s="79" t="s">
        <v>63</v>
      </c>
      <c r="D21" s="79" t="s">
        <v>883</v>
      </c>
      <c r="E21" s="80" t="s">
        <v>887</v>
      </c>
      <c r="F21" s="81" t="s">
        <v>888</v>
      </c>
      <c r="G21" s="82" t="s">
        <v>54</v>
      </c>
      <c r="H21" s="83">
        <v>40</v>
      </c>
      <c r="I21" s="527"/>
      <c r="J21" s="84">
        <f t="shared" si="0"/>
        <v>0</v>
      </c>
      <c r="K21" s="521"/>
      <c r="L21" s="533" t="s">
        <v>2474</v>
      </c>
      <c r="M21" s="530" t="s">
        <v>854</v>
      </c>
      <c r="N21" s="72" t="s">
        <v>861</v>
      </c>
      <c r="O21" s="73">
        <v>0.16</v>
      </c>
      <c r="P21" s="73">
        <f t="shared" si="1"/>
        <v>6.4</v>
      </c>
      <c r="Q21" s="73">
        <v>0</v>
      </c>
      <c r="R21" s="73">
        <f t="shared" si="2"/>
        <v>0</v>
      </c>
      <c r="S21" s="73">
        <v>0.5</v>
      </c>
      <c r="T21" s="74">
        <f t="shared" si="3"/>
        <v>20</v>
      </c>
      <c r="AR21" s="75" t="s">
        <v>71</v>
      </c>
      <c r="AT21" s="75" t="s">
        <v>883</v>
      </c>
      <c r="AU21" s="75" t="s">
        <v>63</v>
      </c>
      <c r="AY21" s="47" t="s">
        <v>881</v>
      </c>
      <c r="BE21" s="76">
        <f t="shared" si="4"/>
        <v>0</v>
      </c>
      <c r="BF21" s="76">
        <f t="shared" si="5"/>
        <v>0</v>
      </c>
      <c r="BG21" s="76">
        <f t="shared" si="6"/>
        <v>0</v>
      </c>
      <c r="BH21" s="76">
        <f t="shared" si="7"/>
        <v>0</v>
      </c>
      <c r="BI21" s="76">
        <f t="shared" si="8"/>
        <v>0</v>
      </c>
      <c r="BJ21" s="47" t="s">
        <v>63</v>
      </c>
      <c r="BK21" s="76">
        <f t="shared" si="9"/>
        <v>0</v>
      </c>
      <c r="BL21" s="47" t="s">
        <v>71</v>
      </c>
      <c r="BM21" s="75" t="s">
        <v>889</v>
      </c>
    </row>
    <row r="22" spans="3:65" s="48" customFormat="1" ht="33" customHeight="1">
      <c r="C22" s="79" t="s">
        <v>67</v>
      </c>
      <c r="D22" s="79" t="s">
        <v>883</v>
      </c>
      <c r="E22" s="80" t="s">
        <v>890</v>
      </c>
      <c r="F22" s="81" t="s">
        <v>891</v>
      </c>
      <c r="G22" s="82" t="s">
        <v>54</v>
      </c>
      <c r="H22" s="83">
        <v>40</v>
      </c>
      <c r="I22" s="527"/>
      <c r="J22" s="84">
        <f t="shared" si="0"/>
        <v>0</v>
      </c>
      <c r="K22" s="521"/>
      <c r="L22" s="533" t="s">
        <v>2474</v>
      </c>
      <c r="M22" s="530" t="s">
        <v>854</v>
      </c>
      <c r="N22" s="72" t="s">
        <v>861</v>
      </c>
      <c r="O22" s="73">
        <v>0.155</v>
      </c>
      <c r="P22" s="73">
        <f t="shared" si="1"/>
        <v>6.2</v>
      </c>
      <c r="Q22" s="73">
        <v>0</v>
      </c>
      <c r="R22" s="73">
        <f t="shared" si="2"/>
        <v>0</v>
      </c>
      <c r="S22" s="73">
        <v>0.29</v>
      </c>
      <c r="T22" s="74">
        <f t="shared" si="3"/>
        <v>11.6</v>
      </c>
      <c r="AR22" s="75" t="s">
        <v>71</v>
      </c>
      <c r="AT22" s="75" t="s">
        <v>883</v>
      </c>
      <c r="AU22" s="75" t="s">
        <v>63</v>
      </c>
      <c r="AY22" s="47" t="s">
        <v>881</v>
      </c>
      <c r="BE22" s="76">
        <f t="shared" si="4"/>
        <v>0</v>
      </c>
      <c r="BF22" s="76">
        <f t="shared" si="5"/>
        <v>0</v>
      </c>
      <c r="BG22" s="76">
        <f t="shared" si="6"/>
        <v>0</v>
      </c>
      <c r="BH22" s="76">
        <f t="shared" si="7"/>
        <v>0</v>
      </c>
      <c r="BI22" s="76">
        <f t="shared" si="8"/>
        <v>0</v>
      </c>
      <c r="BJ22" s="47" t="s">
        <v>63</v>
      </c>
      <c r="BK22" s="76">
        <f t="shared" si="9"/>
        <v>0</v>
      </c>
      <c r="BL22" s="47" t="s">
        <v>71</v>
      </c>
      <c r="BM22" s="75" t="s">
        <v>892</v>
      </c>
    </row>
    <row r="23" spans="3:65" s="48" customFormat="1" ht="24.15" customHeight="1">
      <c r="C23" s="79" t="s">
        <v>71</v>
      </c>
      <c r="D23" s="79" t="s">
        <v>883</v>
      </c>
      <c r="E23" s="80" t="s">
        <v>893</v>
      </c>
      <c r="F23" s="81" t="s">
        <v>894</v>
      </c>
      <c r="G23" s="82" t="s">
        <v>54</v>
      </c>
      <c r="H23" s="83">
        <v>10</v>
      </c>
      <c r="I23" s="527"/>
      <c r="J23" s="84">
        <f t="shared" si="0"/>
        <v>0</v>
      </c>
      <c r="K23" s="521"/>
      <c r="L23" s="533" t="s">
        <v>2474</v>
      </c>
      <c r="M23" s="530" t="s">
        <v>854</v>
      </c>
      <c r="N23" s="72" t="s">
        <v>861</v>
      </c>
      <c r="O23" s="73">
        <v>0.423</v>
      </c>
      <c r="P23" s="73">
        <f t="shared" si="1"/>
        <v>4.2299999999999995</v>
      </c>
      <c r="Q23" s="73">
        <v>0</v>
      </c>
      <c r="R23" s="73">
        <f t="shared" si="2"/>
        <v>0</v>
      </c>
      <c r="S23" s="73">
        <v>0.45</v>
      </c>
      <c r="T23" s="74">
        <f t="shared" si="3"/>
        <v>4.5</v>
      </c>
      <c r="AR23" s="75" t="s">
        <v>71</v>
      </c>
      <c r="AT23" s="75" t="s">
        <v>883</v>
      </c>
      <c r="AU23" s="75" t="s">
        <v>63</v>
      </c>
      <c r="AY23" s="47" t="s">
        <v>881</v>
      </c>
      <c r="BE23" s="76">
        <f t="shared" si="4"/>
        <v>0</v>
      </c>
      <c r="BF23" s="76">
        <f t="shared" si="5"/>
        <v>0</v>
      </c>
      <c r="BG23" s="76">
        <f t="shared" si="6"/>
        <v>0</v>
      </c>
      <c r="BH23" s="76">
        <f t="shared" si="7"/>
        <v>0</v>
      </c>
      <c r="BI23" s="76">
        <f t="shared" si="8"/>
        <v>0</v>
      </c>
      <c r="BJ23" s="47" t="s">
        <v>63</v>
      </c>
      <c r="BK23" s="76">
        <f t="shared" si="9"/>
        <v>0</v>
      </c>
      <c r="BL23" s="47" t="s">
        <v>71</v>
      </c>
      <c r="BM23" s="75" t="s">
        <v>895</v>
      </c>
    </row>
    <row r="24" spans="3:65" s="48" customFormat="1" ht="33" customHeight="1">
      <c r="C24" s="79" t="s">
        <v>78</v>
      </c>
      <c r="D24" s="79" t="s">
        <v>883</v>
      </c>
      <c r="E24" s="80" t="s">
        <v>896</v>
      </c>
      <c r="F24" s="81" t="s">
        <v>897</v>
      </c>
      <c r="G24" s="82" t="s">
        <v>81</v>
      </c>
      <c r="H24" s="83">
        <v>945</v>
      </c>
      <c r="I24" s="527"/>
      <c r="J24" s="84">
        <f t="shared" si="0"/>
        <v>0</v>
      </c>
      <c r="K24" s="521"/>
      <c r="L24" s="533" t="s">
        <v>2474</v>
      </c>
      <c r="M24" s="530" t="s">
        <v>854</v>
      </c>
      <c r="N24" s="72" t="s">
        <v>861</v>
      </c>
      <c r="O24" s="73">
        <v>0.374</v>
      </c>
      <c r="P24" s="73">
        <f t="shared" si="1"/>
        <v>353.43</v>
      </c>
      <c r="Q24" s="73">
        <v>0</v>
      </c>
      <c r="R24" s="73">
        <f t="shared" si="2"/>
        <v>0</v>
      </c>
      <c r="S24" s="73">
        <v>0</v>
      </c>
      <c r="T24" s="74">
        <f t="shared" si="3"/>
        <v>0</v>
      </c>
      <c r="AR24" s="75" t="s">
        <v>71</v>
      </c>
      <c r="AT24" s="75" t="s">
        <v>883</v>
      </c>
      <c r="AU24" s="75" t="s">
        <v>63</v>
      </c>
      <c r="AY24" s="47" t="s">
        <v>881</v>
      </c>
      <c r="BE24" s="76">
        <f t="shared" si="4"/>
        <v>0</v>
      </c>
      <c r="BF24" s="76">
        <f t="shared" si="5"/>
        <v>0</v>
      </c>
      <c r="BG24" s="76">
        <f t="shared" si="6"/>
        <v>0</v>
      </c>
      <c r="BH24" s="76">
        <f t="shared" si="7"/>
        <v>0</v>
      </c>
      <c r="BI24" s="76">
        <f t="shared" si="8"/>
        <v>0</v>
      </c>
      <c r="BJ24" s="47" t="s">
        <v>63</v>
      </c>
      <c r="BK24" s="76">
        <f t="shared" si="9"/>
        <v>0</v>
      </c>
      <c r="BL24" s="47" t="s">
        <v>71</v>
      </c>
      <c r="BM24" s="75" t="s">
        <v>898</v>
      </c>
    </row>
    <row r="25" spans="3:65" s="48" customFormat="1" ht="21.75" customHeight="1">
      <c r="C25" s="79" t="s">
        <v>85</v>
      </c>
      <c r="D25" s="79" t="s">
        <v>883</v>
      </c>
      <c r="E25" s="80" t="s">
        <v>899</v>
      </c>
      <c r="F25" s="81" t="s">
        <v>900</v>
      </c>
      <c r="G25" s="82" t="s">
        <v>54</v>
      </c>
      <c r="H25" s="83">
        <v>712</v>
      </c>
      <c r="I25" s="527"/>
      <c r="J25" s="84">
        <f t="shared" si="0"/>
        <v>0</v>
      </c>
      <c r="K25" s="521"/>
      <c r="L25" s="533" t="s">
        <v>2474</v>
      </c>
      <c r="M25" s="530" t="s">
        <v>854</v>
      </c>
      <c r="N25" s="72" t="s">
        <v>861</v>
      </c>
      <c r="O25" s="73">
        <v>0.236</v>
      </c>
      <c r="P25" s="73">
        <f t="shared" si="1"/>
        <v>168.03199999999998</v>
      </c>
      <c r="Q25" s="73">
        <v>0.00084</v>
      </c>
      <c r="R25" s="73">
        <f t="shared" si="2"/>
        <v>0.5980800000000001</v>
      </c>
      <c r="S25" s="73">
        <v>0</v>
      </c>
      <c r="T25" s="74">
        <f t="shared" si="3"/>
        <v>0</v>
      </c>
      <c r="AR25" s="75" t="s">
        <v>71</v>
      </c>
      <c r="AT25" s="75" t="s">
        <v>883</v>
      </c>
      <c r="AU25" s="75" t="s">
        <v>63</v>
      </c>
      <c r="AY25" s="47" t="s">
        <v>881</v>
      </c>
      <c r="BE25" s="76">
        <f t="shared" si="4"/>
        <v>0</v>
      </c>
      <c r="BF25" s="76">
        <f t="shared" si="5"/>
        <v>0</v>
      </c>
      <c r="BG25" s="76">
        <f t="shared" si="6"/>
        <v>0</v>
      </c>
      <c r="BH25" s="76">
        <f t="shared" si="7"/>
        <v>0</v>
      </c>
      <c r="BI25" s="76">
        <f t="shared" si="8"/>
        <v>0</v>
      </c>
      <c r="BJ25" s="47" t="s">
        <v>63</v>
      </c>
      <c r="BK25" s="76">
        <f t="shared" si="9"/>
        <v>0</v>
      </c>
      <c r="BL25" s="47" t="s">
        <v>71</v>
      </c>
      <c r="BM25" s="75" t="s">
        <v>901</v>
      </c>
    </row>
    <row r="26" spans="3:65" s="48" customFormat="1" ht="24.15" customHeight="1">
      <c r="C26" s="79" t="s">
        <v>89</v>
      </c>
      <c r="D26" s="79" t="s">
        <v>883</v>
      </c>
      <c r="E26" s="80" t="s">
        <v>902</v>
      </c>
      <c r="F26" s="81" t="s">
        <v>903</v>
      </c>
      <c r="G26" s="82" t="s">
        <v>54</v>
      </c>
      <c r="H26" s="83">
        <v>712</v>
      </c>
      <c r="I26" s="527"/>
      <c r="J26" s="84">
        <f t="shared" si="0"/>
        <v>0</v>
      </c>
      <c r="K26" s="521"/>
      <c r="L26" s="533" t="s">
        <v>2474</v>
      </c>
      <c r="M26" s="530" t="s">
        <v>854</v>
      </c>
      <c r="N26" s="72" t="s">
        <v>861</v>
      </c>
      <c r="O26" s="73">
        <v>0.216</v>
      </c>
      <c r="P26" s="73">
        <f t="shared" si="1"/>
        <v>153.792</v>
      </c>
      <c r="Q26" s="73">
        <v>0</v>
      </c>
      <c r="R26" s="73">
        <f t="shared" si="2"/>
        <v>0</v>
      </c>
      <c r="S26" s="73">
        <v>0</v>
      </c>
      <c r="T26" s="74">
        <f t="shared" si="3"/>
        <v>0</v>
      </c>
      <c r="AR26" s="75" t="s">
        <v>71</v>
      </c>
      <c r="AT26" s="75" t="s">
        <v>883</v>
      </c>
      <c r="AU26" s="75" t="s">
        <v>63</v>
      </c>
      <c r="AY26" s="47" t="s">
        <v>881</v>
      </c>
      <c r="BE26" s="76">
        <f t="shared" si="4"/>
        <v>0</v>
      </c>
      <c r="BF26" s="76">
        <f t="shared" si="5"/>
        <v>0</v>
      </c>
      <c r="BG26" s="76">
        <f t="shared" si="6"/>
        <v>0</v>
      </c>
      <c r="BH26" s="76">
        <f t="shared" si="7"/>
        <v>0</v>
      </c>
      <c r="BI26" s="76">
        <f t="shared" si="8"/>
        <v>0</v>
      </c>
      <c r="BJ26" s="47" t="s">
        <v>63</v>
      </c>
      <c r="BK26" s="76">
        <f t="shared" si="9"/>
        <v>0</v>
      </c>
      <c r="BL26" s="47" t="s">
        <v>71</v>
      </c>
      <c r="BM26" s="75" t="s">
        <v>904</v>
      </c>
    </row>
    <row r="27" spans="3:65" s="48" customFormat="1" ht="37.95" customHeight="1">
      <c r="C27" s="79" t="s">
        <v>94</v>
      </c>
      <c r="D27" s="79" t="s">
        <v>883</v>
      </c>
      <c r="E27" s="80" t="s">
        <v>905</v>
      </c>
      <c r="F27" s="81" t="s">
        <v>906</v>
      </c>
      <c r="G27" s="82" t="s">
        <v>81</v>
      </c>
      <c r="H27" s="83">
        <v>252</v>
      </c>
      <c r="I27" s="527"/>
      <c r="J27" s="84">
        <f t="shared" si="0"/>
        <v>0</v>
      </c>
      <c r="K27" s="521"/>
      <c r="L27" s="533" t="s">
        <v>2474</v>
      </c>
      <c r="M27" s="530" t="s">
        <v>854</v>
      </c>
      <c r="N27" s="72" t="s">
        <v>861</v>
      </c>
      <c r="O27" s="73">
        <v>0.063</v>
      </c>
      <c r="P27" s="73">
        <f t="shared" si="1"/>
        <v>15.876</v>
      </c>
      <c r="Q27" s="73">
        <v>0</v>
      </c>
      <c r="R27" s="73">
        <f t="shared" si="2"/>
        <v>0</v>
      </c>
      <c r="S27" s="73">
        <v>0</v>
      </c>
      <c r="T27" s="74">
        <f t="shared" si="3"/>
        <v>0</v>
      </c>
      <c r="AR27" s="75" t="s">
        <v>71</v>
      </c>
      <c r="AT27" s="75" t="s">
        <v>883</v>
      </c>
      <c r="AU27" s="75" t="s">
        <v>63</v>
      </c>
      <c r="AY27" s="47" t="s">
        <v>881</v>
      </c>
      <c r="BE27" s="76">
        <f t="shared" si="4"/>
        <v>0</v>
      </c>
      <c r="BF27" s="76">
        <f t="shared" si="5"/>
        <v>0</v>
      </c>
      <c r="BG27" s="76">
        <f t="shared" si="6"/>
        <v>0</v>
      </c>
      <c r="BH27" s="76">
        <f t="shared" si="7"/>
        <v>0</v>
      </c>
      <c r="BI27" s="76">
        <f t="shared" si="8"/>
        <v>0</v>
      </c>
      <c r="BJ27" s="47" t="s">
        <v>63</v>
      </c>
      <c r="BK27" s="76">
        <f t="shared" si="9"/>
        <v>0</v>
      </c>
      <c r="BL27" s="47" t="s">
        <v>71</v>
      </c>
      <c r="BM27" s="75" t="s">
        <v>907</v>
      </c>
    </row>
    <row r="28" spans="3:65" s="48" customFormat="1" ht="37.95" customHeight="1">
      <c r="C28" s="79" t="s">
        <v>98</v>
      </c>
      <c r="D28" s="79" t="s">
        <v>883</v>
      </c>
      <c r="E28" s="80" t="s">
        <v>908</v>
      </c>
      <c r="F28" s="81" t="s">
        <v>909</v>
      </c>
      <c r="G28" s="82" t="s">
        <v>81</v>
      </c>
      <c r="H28" s="83">
        <v>252</v>
      </c>
      <c r="I28" s="527"/>
      <c r="J28" s="84">
        <f t="shared" si="0"/>
        <v>0</v>
      </c>
      <c r="K28" s="521"/>
      <c r="L28" s="533" t="s">
        <v>2474</v>
      </c>
      <c r="M28" s="530" t="s">
        <v>854</v>
      </c>
      <c r="N28" s="72" t="s">
        <v>861</v>
      </c>
      <c r="O28" s="73">
        <v>0.005</v>
      </c>
      <c r="P28" s="73">
        <f t="shared" si="1"/>
        <v>1.26</v>
      </c>
      <c r="Q28" s="73">
        <v>0</v>
      </c>
      <c r="R28" s="73">
        <f t="shared" si="2"/>
        <v>0</v>
      </c>
      <c r="S28" s="73">
        <v>0</v>
      </c>
      <c r="T28" s="74">
        <f t="shared" si="3"/>
        <v>0</v>
      </c>
      <c r="AR28" s="75" t="s">
        <v>71</v>
      </c>
      <c r="AT28" s="75" t="s">
        <v>883</v>
      </c>
      <c r="AU28" s="75" t="s">
        <v>63</v>
      </c>
      <c r="AY28" s="47" t="s">
        <v>881</v>
      </c>
      <c r="BE28" s="76">
        <f t="shared" si="4"/>
        <v>0</v>
      </c>
      <c r="BF28" s="76">
        <f t="shared" si="5"/>
        <v>0</v>
      </c>
      <c r="BG28" s="76">
        <f t="shared" si="6"/>
        <v>0</v>
      </c>
      <c r="BH28" s="76">
        <f t="shared" si="7"/>
        <v>0</v>
      </c>
      <c r="BI28" s="76">
        <f t="shared" si="8"/>
        <v>0</v>
      </c>
      <c r="BJ28" s="47" t="s">
        <v>63</v>
      </c>
      <c r="BK28" s="76">
        <f t="shared" si="9"/>
        <v>0</v>
      </c>
      <c r="BL28" s="47" t="s">
        <v>71</v>
      </c>
      <c r="BM28" s="75" t="s">
        <v>910</v>
      </c>
    </row>
    <row r="29" spans="3:65" s="48" customFormat="1" ht="24.15" customHeight="1">
      <c r="C29" s="79" t="s">
        <v>104</v>
      </c>
      <c r="D29" s="79" t="s">
        <v>883</v>
      </c>
      <c r="E29" s="80" t="s">
        <v>911</v>
      </c>
      <c r="F29" s="81" t="s">
        <v>912</v>
      </c>
      <c r="G29" s="82" t="s">
        <v>81</v>
      </c>
      <c r="H29" s="83">
        <v>252</v>
      </c>
      <c r="I29" s="527"/>
      <c r="J29" s="84">
        <f t="shared" si="0"/>
        <v>0</v>
      </c>
      <c r="K29" s="521"/>
      <c r="L29" s="533" t="s">
        <v>2474</v>
      </c>
      <c r="M29" s="530" t="s">
        <v>854</v>
      </c>
      <c r="N29" s="72" t="s">
        <v>861</v>
      </c>
      <c r="O29" s="73">
        <v>1.137</v>
      </c>
      <c r="P29" s="73">
        <f t="shared" si="1"/>
        <v>286.524</v>
      </c>
      <c r="Q29" s="73">
        <v>0</v>
      </c>
      <c r="R29" s="73">
        <f t="shared" si="2"/>
        <v>0</v>
      </c>
      <c r="S29" s="73">
        <v>0</v>
      </c>
      <c r="T29" s="74">
        <f t="shared" si="3"/>
        <v>0</v>
      </c>
      <c r="AR29" s="75" t="s">
        <v>71</v>
      </c>
      <c r="AT29" s="75" t="s">
        <v>883</v>
      </c>
      <c r="AU29" s="75" t="s">
        <v>63</v>
      </c>
      <c r="AY29" s="47" t="s">
        <v>881</v>
      </c>
      <c r="BE29" s="76">
        <f t="shared" si="4"/>
        <v>0</v>
      </c>
      <c r="BF29" s="76">
        <f t="shared" si="5"/>
        <v>0</v>
      </c>
      <c r="BG29" s="76">
        <f t="shared" si="6"/>
        <v>0</v>
      </c>
      <c r="BH29" s="76">
        <f t="shared" si="7"/>
        <v>0</v>
      </c>
      <c r="BI29" s="76">
        <f t="shared" si="8"/>
        <v>0</v>
      </c>
      <c r="BJ29" s="47" t="s">
        <v>63</v>
      </c>
      <c r="BK29" s="76">
        <f t="shared" si="9"/>
        <v>0</v>
      </c>
      <c r="BL29" s="47" t="s">
        <v>71</v>
      </c>
      <c r="BM29" s="75" t="s">
        <v>913</v>
      </c>
    </row>
    <row r="30" spans="3:65" s="48" customFormat="1" ht="24.15" customHeight="1">
      <c r="C30" s="79" t="s">
        <v>49</v>
      </c>
      <c r="D30" s="79" t="s">
        <v>883</v>
      </c>
      <c r="E30" s="80" t="s">
        <v>914</v>
      </c>
      <c r="F30" s="81" t="s">
        <v>915</v>
      </c>
      <c r="G30" s="82" t="s">
        <v>125</v>
      </c>
      <c r="H30" s="83">
        <v>453.6</v>
      </c>
      <c r="I30" s="527"/>
      <c r="J30" s="84">
        <f t="shared" si="0"/>
        <v>0</v>
      </c>
      <c r="K30" s="521"/>
      <c r="L30" s="533" t="s">
        <v>2474</v>
      </c>
      <c r="M30" s="530" t="s">
        <v>854</v>
      </c>
      <c r="N30" s="72" t="s">
        <v>861</v>
      </c>
      <c r="O30" s="73">
        <v>0</v>
      </c>
      <c r="P30" s="73">
        <f t="shared" si="1"/>
        <v>0</v>
      </c>
      <c r="Q30" s="73">
        <v>0</v>
      </c>
      <c r="R30" s="73">
        <f t="shared" si="2"/>
        <v>0</v>
      </c>
      <c r="S30" s="73">
        <v>0</v>
      </c>
      <c r="T30" s="74">
        <f t="shared" si="3"/>
        <v>0</v>
      </c>
      <c r="AR30" s="75" t="s">
        <v>71</v>
      </c>
      <c r="AT30" s="75" t="s">
        <v>883</v>
      </c>
      <c r="AU30" s="75" t="s">
        <v>63</v>
      </c>
      <c r="AY30" s="47" t="s">
        <v>881</v>
      </c>
      <c r="BE30" s="76">
        <f t="shared" si="4"/>
        <v>0</v>
      </c>
      <c r="BF30" s="76">
        <f t="shared" si="5"/>
        <v>0</v>
      </c>
      <c r="BG30" s="76">
        <f t="shared" si="6"/>
        <v>0</v>
      </c>
      <c r="BH30" s="76">
        <f t="shared" si="7"/>
        <v>0</v>
      </c>
      <c r="BI30" s="76">
        <f t="shared" si="8"/>
        <v>0</v>
      </c>
      <c r="BJ30" s="47" t="s">
        <v>63</v>
      </c>
      <c r="BK30" s="76">
        <f t="shared" si="9"/>
        <v>0</v>
      </c>
      <c r="BL30" s="47" t="s">
        <v>71</v>
      </c>
      <c r="BM30" s="75" t="s">
        <v>916</v>
      </c>
    </row>
    <row r="31" spans="3:65" s="48" customFormat="1" ht="24.15" customHeight="1">
      <c r="C31" s="79" t="s">
        <v>76</v>
      </c>
      <c r="D31" s="79" t="s">
        <v>883</v>
      </c>
      <c r="E31" s="80" t="s">
        <v>917</v>
      </c>
      <c r="F31" s="81" t="s">
        <v>918</v>
      </c>
      <c r="G31" s="82" t="s">
        <v>81</v>
      </c>
      <c r="H31" s="83">
        <v>693</v>
      </c>
      <c r="I31" s="527"/>
      <c r="J31" s="84">
        <f t="shared" si="0"/>
        <v>0</v>
      </c>
      <c r="K31" s="521"/>
      <c r="L31" s="533" t="s">
        <v>2474</v>
      </c>
      <c r="M31" s="530" t="s">
        <v>854</v>
      </c>
      <c r="N31" s="72" t="s">
        <v>861</v>
      </c>
      <c r="O31" s="73">
        <v>0.328</v>
      </c>
      <c r="P31" s="73">
        <f t="shared" si="1"/>
        <v>227.304</v>
      </c>
      <c r="Q31" s="73">
        <v>0</v>
      </c>
      <c r="R31" s="73">
        <f t="shared" si="2"/>
        <v>0</v>
      </c>
      <c r="S31" s="73">
        <v>0</v>
      </c>
      <c r="T31" s="74">
        <f t="shared" si="3"/>
        <v>0</v>
      </c>
      <c r="AR31" s="75" t="s">
        <v>71</v>
      </c>
      <c r="AT31" s="75" t="s">
        <v>883</v>
      </c>
      <c r="AU31" s="75" t="s">
        <v>63</v>
      </c>
      <c r="AY31" s="47" t="s">
        <v>881</v>
      </c>
      <c r="BE31" s="76">
        <f t="shared" si="4"/>
        <v>0</v>
      </c>
      <c r="BF31" s="76">
        <f t="shared" si="5"/>
        <v>0</v>
      </c>
      <c r="BG31" s="76">
        <f t="shared" si="6"/>
        <v>0</v>
      </c>
      <c r="BH31" s="76">
        <f t="shared" si="7"/>
        <v>0</v>
      </c>
      <c r="BI31" s="76">
        <f t="shared" si="8"/>
        <v>0</v>
      </c>
      <c r="BJ31" s="47" t="s">
        <v>63</v>
      </c>
      <c r="BK31" s="76">
        <f t="shared" si="9"/>
        <v>0</v>
      </c>
      <c r="BL31" s="47" t="s">
        <v>71</v>
      </c>
      <c r="BM31" s="75" t="s">
        <v>919</v>
      </c>
    </row>
    <row r="32" spans="3:65" s="48" customFormat="1" ht="24.15" customHeight="1">
      <c r="C32" s="79" t="s">
        <v>75</v>
      </c>
      <c r="D32" s="79" t="s">
        <v>883</v>
      </c>
      <c r="E32" s="80" t="s">
        <v>920</v>
      </c>
      <c r="F32" s="81" t="s">
        <v>921</v>
      </c>
      <c r="G32" s="82" t="s">
        <v>81</v>
      </c>
      <c r="H32" s="83">
        <v>189</v>
      </c>
      <c r="I32" s="527"/>
      <c r="J32" s="84">
        <f t="shared" si="0"/>
        <v>0</v>
      </c>
      <c r="K32" s="521"/>
      <c r="L32" s="533" t="s">
        <v>2474</v>
      </c>
      <c r="M32" s="530" t="s">
        <v>854</v>
      </c>
      <c r="N32" s="72" t="s">
        <v>861</v>
      </c>
      <c r="O32" s="73">
        <v>1.789</v>
      </c>
      <c r="P32" s="73">
        <f t="shared" si="1"/>
        <v>338.121</v>
      </c>
      <c r="Q32" s="73">
        <v>0</v>
      </c>
      <c r="R32" s="73">
        <f t="shared" si="2"/>
        <v>0</v>
      </c>
      <c r="S32" s="73">
        <v>0</v>
      </c>
      <c r="T32" s="74">
        <f t="shared" si="3"/>
        <v>0</v>
      </c>
      <c r="AR32" s="75" t="s">
        <v>71</v>
      </c>
      <c r="AT32" s="75" t="s">
        <v>883</v>
      </c>
      <c r="AU32" s="75" t="s">
        <v>63</v>
      </c>
      <c r="AY32" s="47" t="s">
        <v>881</v>
      </c>
      <c r="BE32" s="76">
        <f t="shared" si="4"/>
        <v>0</v>
      </c>
      <c r="BF32" s="76">
        <f t="shared" si="5"/>
        <v>0</v>
      </c>
      <c r="BG32" s="76">
        <f t="shared" si="6"/>
        <v>0</v>
      </c>
      <c r="BH32" s="76">
        <f t="shared" si="7"/>
        <v>0</v>
      </c>
      <c r="BI32" s="76">
        <f t="shared" si="8"/>
        <v>0</v>
      </c>
      <c r="BJ32" s="47" t="s">
        <v>63</v>
      </c>
      <c r="BK32" s="76">
        <f t="shared" si="9"/>
        <v>0</v>
      </c>
      <c r="BL32" s="47" t="s">
        <v>71</v>
      </c>
      <c r="BM32" s="75" t="s">
        <v>922</v>
      </c>
    </row>
    <row r="33" spans="3:65" s="48" customFormat="1" ht="16.5" customHeight="1">
      <c r="C33" s="85" t="s">
        <v>128</v>
      </c>
      <c r="D33" s="85" t="s">
        <v>201</v>
      </c>
      <c r="E33" s="86" t="s">
        <v>923</v>
      </c>
      <c r="F33" s="87" t="s">
        <v>924</v>
      </c>
      <c r="G33" s="88" t="s">
        <v>125</v>
      </c>
      <c r="H33" s="89">
        <v>170.1</v>
      </c>
      <c r="I33" s="528"/>
      <c r="J33" s="90">
        <f t="shared" si="0"/>
        <v>0</v>
      </c>
      <c r="K33" s="522"/>
      <c r="L33" s="533" t="s">
        <v>2474</v>
      </c>
      <c r="M33" s="531" t="s">
        <v>854</v>
      </c>
      <c r="N33" s="78" t="s">
        <v>861</v>
      </c>
      <c r="O33" s="73">
        <v>0</v>
      </c>
      <c r="P33" s="73">
        <f t="shared" si="1"/>
        <v>0</v>
      </c>
      <c r="Q33" s="73">
        <v>1</v>
      </c>
      <c r="R33" s="73">
        <f t="shared" si="2"/>
        <v>170.1</v>
      </c>
      <c r="S33" s="73">
        <v>0</v>
      </c>
      <c r="T33" s="74">
        <f t="shared" si="3"/>
        <v>0</v>
      </c>
      <c r="AR33" s="75" t="s">
        <v>94</v>
      </c>
      <c r="AT33" s="75" t="s">
        <v>201</v>
      </c>
      <c r="AU33" s="75" t="s">
        <v>63</v>
      </c>
      <c r="AY33" s="47" t="s">
        <v>881</v>
      </c>
      <c r="BE33" s="76">
        <f t="shared" si="4"/>
        <v>0</v>
      </c>
      <c r="BF33" s="76">
        <f t="shared" si="5"/>
        <v>0</v>
      </c>
      <c r="BG33" s="76">
        <f t="shared" si="6"/>
        <v>0</v>
      </c>
      <c r="BH33" s="76">
        <f t="shared" si="7"/>
        <v>0</v>
      </c>
      <c r="BI33" s="76">
        <f t="shared" si="8"/>
        <v>0</v>
      </c>
      <c r="BJ33" s="47" t="s">
        <v>63</v>
      </c>
      <c r="BK33" s="76">
        <f t="shared" si="9"/>
        <v>0</v>
      </c>
      <c r="BL33" s="47" t="s">
        <v>71</v>
      </c>
      <c r="BM33" s="75" t="s">
        <v>925</v>
      </c>
    </row>
    <row r="34" spans="4:63" s="64" customFormat="1" ht="22.95" customHeight="1">
      <c r="D34" s="65" t="s">
        <v>877</v>
      </c>
      <c r="E34" s="205" t="s">
        <v>71</v>
      </c>
      <c r="F34" s="205" t="s">
        <v>926</v>
      </c>
      <c r="J34" s="206">
        <f>BK34</f>
        <v>0</v>
      </c>
      <c r="P34" s="67">
        <f>SUM(P35:P36)</f>
        <v>108.11380000000001</v>
      </c>
      <c r="R34" s="67">
        <f>SUM(R35:R36)</f>
        <v>0</v>
      </c>
      <c r="T34" s="68">
        <f>SUM(T35:T36)</f>
        <v>0</v>
      </c>
      <c r="AR34" s="65" t="s">
        <v>51</v>
      </c>
      <c r="AT34" s="69" t="s">
        <v>877</v>
      </c>
      <c r="AU34" s="69" t="s">
        <v>51</v>
      </c>
      <c r="AY34" s="65" t="s">
        <v>881</v>
      </c>
      <c r="BK34" s="70">
        <f>SUM(BK35:BK36)</f>
        <v>0</v>
      </c>
    </row>
    <row r="35" spans="3:65" s="48" customFormat="1" ht="24.15" customHeight="1">
      <c r="C35" s="79" t="s">
        <v>66</v>
      </c>
      <c r="D35" s="79" t="s">
        <v>883</v>
      </c>
      <c r="E35" s="80" t="s">
        <v>927</v>
      </c>
      <c r="F35" s="81" t="s">
        <v>928</v>
      </c>
      <c r="G35" s="82" t="s">
        <v>81</v>
      </c>
      <c r="H35" s="83">
        <v>63</v>
      </c>
      <c r="I35" s="527"/>
      <c r="J35" s="84">
        <f>ROUND(I35*H35,2)</f>
        <v>0</v>
      </c>
      <c r="K35" s="521"/>
      <c r="L35" s="533" t="s">
        <v>2474</v>
      </c>
      <c r="M35" s="530" t="s">
        <v>854</v>
      </c>
      <c r="N35" s="72" t="s">
        <v>861</v>
      </c>
      <c r="O35" s="73">
        <v>1.695</v>
      </c>
      <c r="P35" s="73">
        <f>O35*H35</f>
        <v>106.78500000000001</v>
      </c>
      <c r="Q35" s="73">
        <v>0</v>
      </c>
      <c r="R35" s="73">
        <f>Q35*H35</f>
        <v>0</v>
      </c>
      <c r="S35" s="73">
        <v>0</v>
      </c>
      <c r="T35" s="74">
        <f>S35*H35</f>
        <v>0</v>
      </c>
      <c r="AR35" s="75" t="s">
        <v>71</v>
      </c>
      <c r="AT35" s="75" t="s">
        <v>883</v>
      </c>
      <c r="AU35" s="75" t="s">
        <v>63</v>
      </c>
      <c r="AY35" s="47" t="s">
        <v>881</v>
      </c>
      <c r="BE35" s="76">
        <f>IF(N35="základní",J35,0)</f>
        <v>0</v>
      </c>
      <c r="BF35" s="76">
        <f>IF(N35="snížená",J35,0)</f>
        <v>0</v>
      </c>
      <c r="BG35" s="76">
        <f>IF(N35="zákl. přenesená",J35,0)</f>
        <v>0</v>
      </c>
      <c r="BH35" s="76">
        <f>IF(N35="sníž. přenesená",J35,0)</f>
        <v>0</v>
      </c>
      <c r="BI35" s="76">
        <f>IF(N35="nulová",J35,0)</f>
        <v>0</v>
      </c>
      <c r="BJ35" s="47" t="s">
        <v>63</v>
      </c>
      <c r="BK35" s="76">
        <f>ROUND(I35*H35,2)</f>
        <v>0</v>
      </c>
      <c r="BL35" s="47" t="s">
        <v>71</v>
      </c>
      <c r="BM35" s="75" t="s">
        <v>929</v>
      </c>
    </row>
    <row r="36" spans="3:65" s="48" customFormat="1" ht="24.15" customHeight="1">
      <c r="C36" s="79" t="s">
        <v>92</v>
      </c>
      <c r="D36" s="79" t="s">
        <v>883</v>
      </c>
      <c r="E36" s="80" t="s">
        <v>930</v>
      </c>
      <c r="F36" s="81" t="s">
        <v>931</v>
      </c>
      <c r="G36" s="82" t="s">
        <v>81</v>
      </c>
      <c r="H36" s="83">
        <v>1.1</v>
      </c>
      <c r="I36" s="527"/>
      <c r="J36" s="84">
        <f>ROUND(I36*H36,2)</f>
        <v>0</v>
      </c>
      <c r="K36" s="521"/>
      <c r="L36" s="533" t="s">
        <v>2474</v>
      </c>
      <c r="M36" s="530" t="s">
        <v>854</v>
      </c>
      <c r="N36" s="72" t="s">
        <v>861</v>
      </c>
      <c r="O36" s="73">
        <v>1.208</v>
      </c>
      <c r="P36" s="73">
        <f>O36*H36</f>
        <v>1.3288</v>
      </c>
      <c r="Q36" s="73">
        <v>0</v>
      </c>
      <c r="R36" s="73">
        <f>Q36*H36</f>
        <v>0</v>
      </c>
      <c r="S36" s="73">
        <v>0</v>
      </c>
      <c r="T36" s="74">
        <f>S36*H36</f>
        <v>0</v>
      </c>
      <c r="AR36" s="75" t="s">
        <v>71</v>
      </c>
      <c r="AT36" s="75" t="s">
        <v>883</v>
      </c>
      <c r="AU36" s="75" t="s">
        <v>63</v>
      </c>
      <c r="AY36" s="47" t="s">
        <v>881</v>
      </c>
      <c r="BE36" s="76">
        <f>IF(N36="základní",J36,0)</f>
        <v>0</v>
      </c>
      <c r="BF36" s="76">
        <f>IF(N36="snížená",J36,0)</f>
        <v>0</v>
      </c>
      <c r="BG36" s="76">
        <f>IF(N36="zákl. přenesená",J36,0)</f>
        <v>0</v>
      </c>
      <c r="BH36" s="76">
        <f>IF(N36="sníž. přenesená",J36,0)</f>
        <v>0</v>
      </c>
      <c r="BI36" s="76">
        <f>IF(N36="nulová",J36,0)</f>
        <v>0</v>
      </c>
      <c r="BJ36" s="47" t="s">
        <v>63</v>
      </c>
      <c r="BK36" s="76">
        <f>ROUND(I36*H36,2)</f>
        <v>0</v>
      </c>
      <c r="BL36" s="47" t="s">
        <v>71</v>
      </c>
      <c r="BM36" s="75" t="s">
        <v>932</v>
      </c>
    </row>
    <row r="37" spans="4:63" s="64" customFormat="1" ht="22.95" customHeight="1">
      <c r="D37" s="65" t="s">
        <v>877</v>
      </c>
      <c r="E37" s="205" t="s">
        <v>78</v>
      </c>
      <c r="F37" s="205" t="s">
        <v>933</v>
      </c>
      <c r="J37" s="206">
        <f>BK37</f>
        <v>0</v>
      </c>
      <c r="P37" s="67">
        <f>SUM(P38:P44)</f>
        <v>97.06</v>
      </c>
      <c r="R37" s="67">
        <f>SUM(R38:R44)</f>
        <v>74.3539</v>
      </c>
      <c r="T37" s="68">
        <f>SUM(T38:T44)</f>
        <v>0</v>
      </c>
      <c r="AR37" s="65" t="s">
        <v>51</v>
      </c>
      <c r="AT37" s="69" t="s">
        <v>877</v>
      </c>
      <c r="AU37" s="69" t="s">
        <v>51</v>
      </c>
      <c r="AY37" s="65" t="s">
        <v>881</v>
      </c>
      <c r="BK37" s="70">
        <f>SUM(BK38:BK44)</f>
        <v>0</v>
      </c>
    </row>
    <row r="38" spans="3:65" s="48" customFormat="1" ht="24.15" customHeight="1">
      <c r="C38" s="79" t="s">
        <v>102</v>
      </c>
      <c r="D38" s="79" t="s">
        <v>883</v>
      </c>
      <c r="E38" s="80" t="s">
        <v>934</v>
      </c>
      <c r="F38" s="81" t="s">
        <v>935</v>
      </c>
      <c r="G38" s="82" t="s">
        <v>54</v>
      </c>
      <c r="H38" s="83">
        <v>30</v>
      </c>
      <c r="I38" s="527"/>
      <c r="J38" s="84">
        <f aca="true" t="shared" si="10" ref="J38:J44">ROUND(I38*H38,2)</f>
        <v>0</v>
      </c>
      <c r="K38" s="521"/>
      <c r="L38" s="533" t="s">
        <v>2474</v>
      </c>
      <c r="M38" s="530" t="s">
        <v>854</v>
      </c>
      <c r="N38" s="72" t="s">
        <v>861</v>
      </c>
      <c r="O38" s="73">
        <v>0.117</v>
      </c>
      <c r="P38" s="73">
        <f aca="true" t="shared" si="11" ref="P38:P44">O38*H38</f>
        <v>3.5100000000000002</v>
      </c>
      <c r="Q38" s="73">
        <v>0.23</v>
      </c>
      <c r="R38" s="73">
        <f aca="true" t="shared" si="12" ref="R38:R44">Q38*H38</f>
        <v>6.9</v>
      </c>
      <c r="S38" s="73">
        <v>0</v>
      </c>
      <c r="T38" s="74">
        <f aca="true" t="shared" si="13" ref="T38:T44">S38*H38</f>
        <v>0</v>
      </c>
      <c r="AR38" s="75" t="s">
        <v>71</v>
      </c>
      <c r="AT38" s="75" t="s">
        <v>883</v>
      </c>
      <c r="AU38" s="75" t="s">
        <v>63</v>
      </c>
      <c r="AY38" s="47" t="s">
        <v>881</v>
      </c>
      <c r="BE38" s="76">
        <f aca="true" t="shared" si="14" ref="BE38:BE44">IF(N38="základní",J38,0)</f>
        <v>0</v>
      </c>
      <c r="BF38" s="76">
        <f aca="true" t="shared" si="15" ref="BF38:BF44">IF(N38="snížená",J38,0)</f>
        <v>0</v>
      </c>
      <c r="BG38" s="76">
        <f aca="true" t="shared" si="16" ref="BG38:BG44">IF(N38="zákl. přenesená",J38,0)</f>
        <v>0</v>
      </c>
      <c r="BH38" s="76">
        <f aca="true" t="shared" si="17" ref="BH38:BH44">IF(N38="sníž. přenesená",J38,0)</f>
        <v>0</v>
      </c>
      <c r="BI38" s="76">
        <f aca="true" t="shared" si="18" ref="BI38:BI44">IF(N38="nulová",J38,0)</f>
        <v>0</v>
      </c>
      <c r="BJ38" s="47" t="s">
        <v>63</v>
      </c>
      <c r="BK38" s="76">
        <f aca="true" t="shared" si="19" ref="BK38:BK44">ROUND(I38*H38,2)</f>
        <v>0</v>
      </c>
      <c r="BL38" s="47" t="s">
        <v>71</v>
      </c>
      <c r="BM38" s="75" t="s">
        <v>936</v>
      </c>
    </row>
    <row r="39" spans="3:65" s="48" customFormat="1" ht="24.15" customHeight="1">
      <c r="C39" s="79" t="s">
        <v>114</v>
      </c>
      <c r="D39" s="79" t="s">
        <v>883</v>
      </c>
      <c r="E39" s="80" t="s">
        <v>937</v>
      </c>
      <c r="F39" s="81" t="s">
        <v>938</v>
      </c>
      <c r="G39" s="82" t="s">
        <v>54</v>
      </c>
      <c r="H39" s="83">
        <v>70</v>
      </c>
      <c r="I39" s="527"/>
      <c r="J39" s="84">
        <f t="shared" si="10"/>
        <v>0</v>
      </c>
      <c r="K39" s="521"/>
      <c r="L39" s="533" t="s">
        <v>2474</v>
      </c>
      <c r="M39" s="530" t="s">
        <v>854</v>
      </c>
      <c r="N39" s="72" t="s">
        <v>861</v>
      </c>
      <c r="O39" s="73">
        <v>0.107</v>
      </c>
      <c r="P39" s="73">
        <f t="shared" si="11"/>
        <v>7.49</v>
      </c>
      <c r="Q39" s="73">
        <v>0.575</v>
      </c>
      <c r="R39" s="73">
        <f t="shared" si="12"/>
        <v>40.25</v>
      </c>
      <c r="S39" s="73">
        <v>0</v>
      </c>
      <c r="T39" s="74">
        <f t="shared" si="13"/>
        <v>0</v>
      </c>
      <c r="AR39" s="75" t="s">
        <v>71</v>
      </c>
      <c r="AT39" s="75" t="s">
        <v>883</v>
      </c>
      <c r="AU39" s="75" t="s">
        <v>63</v>
      </c>
      <c r="AY39" s="47" t="s">
        <v>881</v>
      </c>
      <c r="BE39" s="76">
        <f t="shared" si="14"/>
        <v>0</v>
      </c>
      <c r="BF39" s="76">
        <f t="shared" si="15"/>
        <v>0</v>
      </c>
      <c r="BG39" s="76">
        <f t="shared" si="16"/>
        <v>0</v>
      </c>
      <c r="BH39" s="76">
        <f t="shared" si="17"/>
        <v>0</v>
      </c>
      <c r="BI39" s="76">
        <f t="shared" si="18"/>
        <v>0</v>
      </c>
      <c r="BJ39" s="47" t="s">
        <v>63</v>
      </c>
      <c r="BK39" s="76">
        <f t="shared" si="19"/>
        <v>0</v>
      </c>
      <c r="BL39" s="47" t="s">
        <v>71</v>
      </c>
      <c r="BM39" s="75" t="s">
        <v>939</v>
      </c>
    </row>
    <row r="40" spans="3:65" s="48" customFormat="1" ht="37.95" customHeight="1">
      <c r="C40" s="79" t="s">
        <v>121</v>
      </c>
      <c r="D40" s="79" t="s">
        <v>883</v>
      </c>
      <c r="E40" s="80" t="s">
        <v>940</v>
      </c>
      <c r="F40" s="81" t="s">
        <v>941</v>
      </c>
      <c r="G40" s="82" t="s">
        <v>54</v>
      </c>
      <c r="H40" s="83">
        <v>10</v>
      </c>
      <c r="I40" s="527"/>
      <c r="J40" s="84">
        <f t="shared" si="10"/>
        <v>0</v>
      </c>
      <c r="K40" s="521"/>
      <c r="L40" s="533" t="s">
        <v>2474</v>
      </c>
      <c r="M40" s="530" t="s">
        <v>854</v>
      </c>
      <c r="N40" s="72" t="s">
        <v>861</v>
      </c>
      <c r="O40" s="73">
        <v>0.374</v>
      </c>
      <c r="P40" s="73">
        <f t="shared" si="11"/>
        <v>3.74</v>
      </c>
      <c r="Q40" s="73">
        <v>0.26376</v>
      </c>
      <c r="R40" s="73">
        <f t="shared" si="12"/>
        <v>2.6376</v>
      </c>
      <c r="S40" s="73">
        <v>0</v>
      </c>
      <c r="T40" s="74">
        <f t="shared" si="13"/>
        <v>0</v>
      </c>
      <c r="AR40" s="75" t="s">
        <v>71</v>
      </c>
      <c r="AT40" s="75" t="s">
        <v>883</v>
      </c>
      <c r="AU40" s="75" t="s">
        <v>63</v>
      </c>
      <c r="AY40" s="47" t="s">
        <v>881</v>
      </c>
      <c r="BE40" s="76">
        <f t="shared" si="14"/>
        <v>0</v>
      </c>
      <c r="BF40" s="76">
        <f t="shared" si="15"/>
        <v>0</v>
      </c>
      <c r="BG40" s="76">
        <f t="shared" si="16"/>
        <v>0</v>
      </c>
      <c r="BH40" s="76">
        <f t="shared" si="17"/>
        <v>0</v>
      </c>
      <c r="BI40" s="76">
        <f t="shared" si="18"/>
        <v>0</v>
      </c>
      <c r="BJ40" s="47" t="s">
        <v>63</v>
      </c>
      <c r="BK40" s="76">
        <f t="shared" si="19"/>
        <v>0</v>
      </c>
      <c r="BL40" s="47" t="s">
        <v>71</v>
      </c>
      <c r="BM40" s="75" t="s">
        <v>942</v>
      </c>
    </row>
    <row r="41" spans="3:65" s="48" customFormat="1" ht="37.95" customHeight="1">
      <c r="C41" s="79" t="s">
        <v>157</v>
      </c>
      <c r="D41" s="79" t="s">
        <v>883</v>
      </c>
      <c r="E41" s="80" t="s">
        <v>943</v>
      </c>
      <c r="F41" s="81" t="s">
        <v>944</v>
      </c>
      <c r="G41" s="82" t="s">
        <v>54</v>
      </c>
      <c r="H41" s="83">
        <v>10</v>
      </c>
      <c r="I41" s="527"/>
      <c r="J41" s="84">
        <f t="shared" si="10"/>
        <v>0</v>
      </c>
      <c r="K41" s="521"/>
      <c r="L41" s="533" t="s">
        <v>2474</v>
      </c>
      <c r="M41" s="530" t="s">
        <v>854</v>
      </c>
      <c r="N41" s="72" t="s">
        <v>861</v>
      </c>
      <c r="O41" s="73">
        <v>0.891</v>
      </c>
      <c r="P41" s="73">
        <f t="shared" si="11"/>
        <v>8.91</v>
      </c>
      <c r="Q41" s="73">
        <v>0.49985</v>
      </c>
      <c r="R41" s="73">
        <f t="shared" si="12"/>
        <v>4.9985</v>
      </c>
      <c r="S41" s="73">
        <v>0</v>
      </c>
      <c r="T41" s="74">
        <f t="shared" si="13"/>
        <v>0</v>
      </c>
      <c r="AR41" s="75" t="s">
        <v>71</v>
      </c>
      <c r="AT41" s="75" t="s">
        <v>883</v>
      </c>
      <c r="AU41" s="75" t="s">
        <v>63</v>
      </c>
      <c r="AY41" s="47" t="s">
        <v>881</v>
      </c>
      <c r="BE41" s="76">
        <f t="shared" si="14"/>
        <v>0</v>
      </c>
      <c r="BF41" s="76">
        <f t="shared" si="15"/>
        <v>0</v>
      </c>
      <c r="BG41" s="76">
        <f t="shared" si="16"/>
        <v>0</v>
      </c>
      <c r="BH41" s="76">
        <f t="shared" si="17"/>
        <v>0</v>
      </c>
      <c r="BI41" s="76">
        <f t="shared" si="18"/>
        <v>0</v>
      </c>
      <c r="BJ41" s="47" t="s">
        <v>63</v>
      </c>
      <c r="BK41" s="76">
        <f t="shared" si="19"/>
        <v>0</v>
      </c>
      <c r="BL41" s="47" t="s">
        <v>71</v>
      </c>
      <c r="BM41" s="75" t="s">
        <v>945</v>
      </c>
    </row>
    <row r="42" spans="3:65" s="48" customFormat="1" ht="33" customHeight="1">
      <c r="C42" s="79" t="s">
        <v>161</v>
      </c>
      <c r="D42" s="79" t="s">
        <v>883</v>
      </c>
      <c r="E42" s="80" t="s">
        <v>946</v>
      </c>
      <c r="F42" s="81" t="s">
        <v>947</v>
      </c>
      <c r="G42" s="82" t="s">
        <v>54</v>
      </c>
      <c r="H42" s="83">
        <v>10</v>
      </c>
      <c r="I42" s="527"/>
      <c r="J42" s="84">
        <f t="shared" si="10"/>
        <v>0</v>
      </c>
      <c r="K42" s="521"/>
      <c r="L42" s="533" t="s">
        <v>2474</v>
      </c>
      <c r="M42" s="530" t="s">
        <v>854</v>
      </c>
      <c r="N42" s="72" t="s">
        <v>861</v>
      </c>
      <c r="O42" s="73">
        <v>0.587</v>
      </c>
      <c r="P42" s="73">
        <f t="shared" si="11"/>
        <v>5.869999999999999</v>
      </c>
      <c r="Q42" s="73">
        <v>0.12966</v>
      </c>
      <c r="R42" s="73">
        <f t="shared" si="12"/>
        <v>1.2966</v>
      </c>
      <c r="S42" s="73">
        <v>0</v>
      </c>
      <c r="T42" s="74">
        <f t="shared" si="13"/>
        <v>0</v>
      </c>
      <c r="AR42" s="75" t="s">
        <v>71</v>
      </c>
      <c r="AT42" s="75" t="s">
        <v>883</v>
      </c>
      <c r="AU42" s="75" t="s">
        <v>63</v>
      </c>
      <c r="AY42" s="47" t="s">
        <v>881</v>
      </c>
      <c r="BE42" s="76">
        <f t="shared" si="14"/>
        <v>0</v>
      </c>
      <c r="BF42" s="76">
        <f t="shared" si="15"/>
        <v>0</v>
      </c>
      <c r="BG42" s="76">
        <f t="shared" si="16"/>
        <v>0</v>
      </c>
      <c r="BH42" s="76">
        <f t="shared" si="17"/>
        <v>0</v>
      </c>
      <c r="BI42" s="76">
        <f t="shared" si="18"/>
        <v>0</v>
      </c>
      <c r="BJ42" s="47" t="s">
        <v>63</v>
      </c>
      <c r="BK42" s="76">
        <f t="shared" si="19"/>
        <v>0</v>
      </c>
      <c r="BL42" s="47" t="s">
        <v>71</v>
      </c>
      <c r="BM42" s="75" t="s">
        <v>948</v>
      </c>
    </row>
    <row r="43" spans="3:65" s="48" customFormat="1" ht="24.15" customHeight="1">
      <c r="C43" s="79" t="s">
        <v>165</v>
      </c>
      <c r="D43" s="79" t="s">
        <v>883</v>
      </c>
      <c r="E43" s="80" t="s">
        <v>949</v>
      </c>
      <c r="F43" s="81" t="s">
        <v>950</v>
      </c>
      <c r="G43" s="82" t="s">
        <v>54</v>
      </c>
      <c r="H43" s="83">
        <v>30</v>
      </c>
      <c r="I43" s="527"/>
      <c r="J43" s="84">
        <f t="shared" si="10"/>
        <v>0</v>
      </c>
      <c r="K43" s="521"/>
      <c r="L43" s="533" t="s">
        <v>2130</v>
      </c>
      <c r="M43" s="530" t="s">
        <v>854</v>
      </c>
      <c r="N43" s="72" t="s">
        <v>861</v>
      </c>
      <c r="O43" s="73">
        <v>2.25</v>
      </c>
      <c r="P43" s="73">
        <f t="shared" si="11"/>
        <v>67.5</v>
      </c>
      <c r="Q43" s="73">
        <v>0.60904</v>
      </c>
      <c r="R43" s="73">
        <f t="shared" si="12"/>
        <v>18.2712</v>
      </c>
      <c r="S43" s="73">
        <v>0</v>
      </c>
      <c r="T43" s="74">
        <f t="shared" si="13"/>
        <v>0</v>
      </c>
      <c r="AR43" s="75" t="s">
        <v>71</v>
      </c>
      <c r="AT43" s="75" t="s">
        <v>883</v>
      </c>
      <c r="AU43" s="75" t="s">
        <v>63</v>
      </c>
      <c r="AY43" s="47" t="s">
        <v>881</v>
      </c>
      <c r="BE43" s="76">
        <f t="shared" si="14"/>
        <v>0</v>
      </c>
      <c r="BF43" s="76">
        <f t="shared" si="15"/>
        <v>0</v>
      </c>
      <c r="BG43" s="76">
        <f t="shared" si="16"/>
        <v>0</v>
      </c>
      <c r="BH43" s="76">
        <f t="shared" si="17"/>
        <v>0</v>
      </c>
      <c r="BI43" s="76">
        <f t="shared" si="18"/>
        <v>0</v>
      </c>
      <c r="BJ43" s="47" t="s">
        <v>63</v>
      </c>
      <c r="BK43" s="76">
        <f t="shared" si="19"/>
        <v>0</v>
      </c>
      <c r="BL43" s="47" t="s">
        <v>71</v>
      </c>
      <c r="BM43" s="75" t="s">
        <v>951</v>
      </c>
    </row>
    <row r="44" spans="3:65" s="48" customFormat="1" ht="21.75" customHeight="1">
      <c r="C44" s="79" t="s">
        <v>70</v>
      </c>
      <c r="D44" s="79" t="s">
        <v>883</v>
      </c>
      <c r="E44" s="80" t="s">
        <v>952</v>
      </c>
      <c r="F44" s="81" t="s">
        <v>953</v>
      </c>
      <c r="G44" s="82" t="s">
        <v>54</v>
      </c>
      <c r="H44" s="83">
        <v>20</v>
      </c>
      <c r="I44" s="527"/>
      <c r="J44" s="84">
        <f t="shared" si="10"/>
        <v>0</v>
      </c>
      <c r="K44" s="521"/>
      <c r="L44" s="533" t="s">
        <v>2474</v>
      </c>
      <c r="M44" s="530" t="s">
        <v>854</v>
      </c>
      <c r="N44" s="72" t="s">
        <v>861</v>
      </c>
      <c r="O44" s="73">
        <v>0.002</v>
      </c>
      <c r="P44" s="73">
        <f t="shared" si="11"/>
        <v>0.04</v>
      </c>
      <c r="Q44" s="73">
        <v>0</v>
      </c>
      <c r="R44" s="73">
        <f t="shared" si="12"/>
        <v>0</v>
      </c>
      <c r="S44" s="73">
        <v>0</v>
      </c>
      <c r="T44" s="74">
        <f t="shared" si="13"/>
        <v>0</v>
      </c>
      <c r="AR44" s="75" t="s">
        <v>71</v>
      </c>
      <c r="AT44" s="75" t="s">
        <v>883</v>
      </c>
      <c r="AU44" s="75" t="s">
        <v>63</v>
      </c>
      <c r="AY44" s="47" t="s">
        <v>881</v>
      </c>
      <c r="BE44" s="76">
        <f t="shared" si="14"/>
        <v>0</v>
      </c>
      <c r="BF44" s="76">
        <f t="shared" si="15"/>
        <v>0</v>
      </c>
      <c r="BG44" s="76">
        <f t="shared" si="16"/>
        <v>0</v>
      </c>
      <c r="BH44" s="76">
        <f t="shared" si="17"/>
        <v>0</v>
      </c>
      <c r="BI44" s="76">
        <f t="shared" si="18"/>
        <v>0</v>
      </c>
      <c r="BJ44" s="47" t="s">
        <v>63</v>
      </c>
      <c r="BK44" s="76">
        <f t="shared" si="19"/>
        <v>0</v>
      </c>
      <c r="BL44" s="47" t="s">
        <v>71</v>
      </c>
      <c r="BM44" s="75" t="s">
        <v>954</v>
      </c>
    </row>
    <row r="45" spans="4:63" s="64" customFormat="1" ht="22.95" customHeight="1">
      <c r="D45" s="65" t="s">
        <v>877</v>
      </c>
      <c r="E45" s="205" t="s">
        <v>94</v>
      </c>
      <c r="F45" s="205" t="s">
        <v>955</v>
      </c>
      <c r="J45" s="206">
        <f>BK45</f>
        <v>0</v>
      </c>
      <c r="P45" s="67">
        <f>SUM(P46:P106)</f>
        <v>807.3089999999999</v>
      </c>
      <c r="R45" s="67">
        <f>SUM(R46:R106)</f>
        <v>26.753045</v>
      </c>
      <c r="T45" s="68">
        <f>SUM(T46:T106)</f>
        <v>0.22039999999999998</v>
      </c>
      <c r="AR45" s="65" t="s">
        <v>51</v>
      </c>
      <c r="AT45" s="69" t="s">
        <v>877</v>
      </c>
      <c r="AU45" s="69" t="s">
        <v>51</v>
      </c>
      <c r="AY45" s="65" t="s">
        <v>881</v>
      </c>
      <c r="BK45" s="70">
        <f>SUM(BK46:BK106)</f>
        <v>0</v>
      </c>
    </row>
    <row r="46" spans="3:65" s="48" customFormat="1" ht="16.5" customHeight="1">
      <c r="C46" s="79" t="s">
        <v>172</v>
      </c>
      <c r="D46" s="79" t="s">
        <v>883</v>
      </c>
      <c r="E46" s="80" t="s">
        <v>956</v>
      </c>
      <c r="F46" s="81" t="s">
        <v>957</v>
      </c>
      <c r="G46" s="82" t="s">
        <v>260</v>
      </c>
      <c r="H46" s="83">
        <v>4</v>
      </c>
      <c r="I46" s="527"/>
      <c r="J46" s="84">
        <f aca="true" t="shared" si="20" ref="J46:J106">ROUND(I46*H46,2)</f>
        <v>0</v>
      </c>
      <c r="K46" s="521"/>
      <c r="L46" s="533" t="s">
        <v>2130</v>
      </c>
      <c r="M46" s="530" t="s">
        <v>854</v>
      </c>
      <c r="N46" s="72" t="s">
        <v>861</v>
      </c>
      <c r="O46" s="73">
        <v>11.968</v>
      </c>
      <c r="P46" s="73">
        <f aca="true" t="shared" si="21" ref="P46:P106">O46*H46</f>
        <v>47.872</v>
      </c>
      <c r="Q46" s="73">
        <v>0</v>
      </c>
      <c r="R46" s="73">
        <f aca="true" t="shared" si="22" ref="R46:R106">Q46*H46</f>
        <v>0</v>
      </c>
      <c r="S46" s="73">
        <v>0</v>
      </c>
      <c r="T46" s="74">
        <f aca="true" t="shared" si="23" ref="T46:T106">S46*H46</f>
        <v>0</v>
      </c>
      <c r="AR46" s="75" t="s">
        <v>71</v>
      </c>
      <c r="AT46" s="75" t="s">
        <v>883</v>
      </c>
      <c r="AU46" s="75" t="s">
        <v>63</v>
      </c>
      <c r="AY46" s="47" t="s">
        <v>881</v>
      </c>
      <c r="BE46" s="76">
        <f aca="true" t="shared" si="24" ref="BE46:BE106">IF(N46="základní",J46,0)</f>
        <v>0</v>
      </c>
      <c r="BF46" s="76">
        <f aca="true" t="shared" si="25" ref="BF46:BF106">IF(N46="snížená",J46,0)</f>
        <v>0</v>
      </c>
      <c r="BG46" s="76">
        <f aca="true" t="shared" si="26" ref="BG46:BG106">IF(N46="zákl. přenesená",J46,0)</f>
        <v>0</v>
      </c>
      <c r="BH46" s="76">
        <f aca="true" t="shared" si="27" ref="BH46:BH106">IF(N46="sníž. přenesená",J46,0)</f>
        <v>0</v>
      </c>
      <c r="BI46" s="76">
        <f aca="true" t="shared" si="28" ref="BI46:BI106">IF(N46="nulová",J46,0)</f>
        <v>0</v>
      </c>
      <c r="BJ46" s="47" t="s">
        <v>63</v>
      </c>
      <c r="BK46" s="76">
        <f aca="true" t="shared" si="29" ref="BK46:BK106">ROUND(I46*H46,2)</f>
        <v>0</v>
      </c>
      <c r="BL46" s="47" t="s">
        <v>71</v>
      </c>
      <c r="BM46" s="75" t="s">
        <v>958</v>
      </c>
    </row>
    <row r="47" spans="3:65" s="48" customFormat="1" ht="24.15" customHeight="1">
      <c r="C47" s="79" t="s">
        <v>177</v>
      </c>
      <c r="D47" s="79" t="s">
        <v>883</v>
      </c>
      <c r="E47" s="80" t="s">
        <v>959</v>
      </c>
      <c r="F47" s="81" t="s">
        <v>960</v>
      </c>
      <c r="G47" s="82" t="s">
        <v>74</v>
      </c>
      <c r="H47" s="83">
        <v>3</v>
      </c>
      <c r="I47" s="527"/>
      <c r="J47" s="84">
        <f t="shared" si="20"/>
        <v>0</v>
      </c>
      <c r="K47" s="521"/>
      <c r="L47" s="533" t="s">
        <v>2474</v>
      </c>
      <c r="M47" s="530" t="s">
        <v>854</v>
      </c>
      <c r="N47" s="72" t="s">
        <v>861</v>
      </c>
      <c r="O47" s="73">
        <v>0.446</v>
      </c>
      <c r="P47" s="73">
        <f t="shared" si="21"/>
        <v>1.338</v>
      </c>
      <c r="Q47" s="73">
        <v>0</v>
      </c>
      <c r="R47" s="73">
        <f t="shared" si="22"/>
        <v>0</v>
      </c>
      <c r="S47" s="73">
        <v>0</v>
      </c>
      <c r="T47" s="74">
        <f t="shared" si="23"/>
        <v>0</v>
      </c>
      <c r="AR47" s="75" t="s">
        <v>71</v>
      </c>
      <c r="AT47" s="75" t="s">
        <v>883</v>
      </c>
      <c r="AU47" s="75" t="s">
        <v>63</v>
      </c>
      <c r="AY47" s="47" t="s">
        <v>881</v>
      </c>
      <c r="BE47" s="76">
        <f t="shared" si="24"/>
        <v>0</v>
      </c>
      <c r="BF47" s="76">
        <f t="shared" si="25"/>
        <v>0</v>
      </c>
      <c r="BG47" s="76">
        <f t="shared" si="26"/>
        <v>0</v>
      </c>
      <c r="BH47" s="76">
        <f t="shared" si="27"/>
        <v>0</v>
      </c>
      <c r="BI47" s="76">
        <f t="shared" si="28"/>
        <v>0</v>
      </c>
      <c r="BJ47" s="47" t="s">
        <v>63</v>
      </c>
      <c r="BK47" s="76">
        <f t="shared" si="29"/>
        <v>0</v>
      </c>
      <c r="BL47" s="47" t="s">
        <v>71</v>
      </c>
      <c r="BM47" s="75" t="s">
        <v>961</v>
      </c>
    </row>
    <row r="48" spans="3:65" s="48" customFormat="1" ht="16.5" customHeight="1">
      <c r="C48" s="85" t="s">
        <v>181</v>
      </c>
      <c r="D48" s="85" t="s">
        <v>201</v>
      </c>
      <c r="E48" s="86" t="s">
        <v>962</v>
      </c>
      <c r="F48" s="87" t="s">
        <v>963</v>
      </c>
      <c r="G48" s="88" t="s">
        <v>74</v>
      </c>
      <c r="H48" s="89">
        <v>3</v>
      </c>
      <c r="I48" s="528"/>
      <c r="J48" s="90">
        <f t="shared" si="20"/>
        <v>0</v>
      </c>
      <c r="K48" s="522"/>
      <c r="L48" s="533" t="s">
        <v>2130</v>
      </c>
      <c r="M48" s="531" t="s">
        <v>854</v>
      </c>
      <c r="N48" s="78" t="s">
        <v>861</v>
      </c>
      <c r="O48" s="73">
        <v>0</v>
      </c>
      <c r="P48" s="73">
        <f t="shared" si="21"/>
        <v>0</v>
      </c>
      <c r="Q48" s="73">
        <v>0.0145</v>
      </c>
      <c r="R48" s="73">
        <f t="shared" si="22"/>
        <v>0.043500000000000004</v>
      </c>
      <c r="S48" s="73">
        <v>0</v>
      </c>
      <c r="T48" s="74">
        <f t="shared" si="23"/>
        <v>0</v>
      </c>
      <c r="AR48" s="75" t="s">
        <v>94</v>
      </c>
      <c r="AT48" s="75" t="s">
        <v>201</v>
      </c>
      <c r="AU48" s="75" t="s">
        <v>63</v>
      </c>
      <c r="AY48" s="47" t="s">
        <v>881</v>
      </c>
      <c r="BE48" s="76">
        <f t="shared" si="24"/>
        <v>0</v>
      </c>
      <c r="BF48" s="76">
        <f t="shared" si="25"/>
        <v>0</v>
      </c>
      <c r="BG48" s="76">
        <f t="shared" si="26"/>
        <v>0</v>
      </c>
      <c r="BH48" s="76">
        <f t="shared" si="27"/>
        <v>0</v>
      </c>
      <c r="BI48" s="76">
        <f t="shared" si="28"/>
        <v>0</v>
      </c>
      <c r="BJ48" s="47" t="s">
        <v>63</v>
      </c>
      <c r="BK48" s="76">
        <f t="shared" si="29"/>
        <v>0</v>
      </c>
      <c r="BL48" s="47" t="s">
        <v>71</v>
      </c>
      <c r="BM48" s="75" t="s">
        <v>964</v>
      </c>
    </row>
    <row r="49" spans="3:65" s="48" customFormat="1" ht="24.15" customHeight="1">
      <c r="C49" s="79" t="s">
        <v>187</v>
      </c>
      <c r="D49" s="79" t="s">
        <v>883</v>
      </c>
      <c r="E49" s="80" t="s">
        <v>965</v>
      </c>
      <c r="F49" s="81" t="s">
        <v>966</v>
      </c>
      <c r="G49" s="82" t="s">
        <v>74</v>
      </c>
      <c r="H49" s="83">
        <v>475</v>
      </c>
      <c r="I49" s="527"/>
      <c r="J49" s="84">
        <f t="shared" si="20"/>
        <v>0</v>
      </c>
      <c r="K49" s="521"/>
      <c r="L49" s="533" t="s">
        <v>2474</v>
      </c>
      <c r="M49" s="530" t="s">
        <v>854</v>
      </c>
      <c r="N49" s="72" t="s">
        <v>861</v>
      </c>
      <c r="O49" s="73">
        <v>0.448</v>
      </c>
      <c r="P49" s="73">
        <f t="shared" si="21"/>
        <v>212.8</v>
      </c>
      <c r="Q49" s="73">
        <v>0</v>
      </c>
      <c r="R49" s="73">
        <f t="shared" si="22"/>
        <v>0</v>
      </c>
      <c r="S49" s="73">
        <v>0</v>
      </c>
      <c r="T49" s="74">
        <f t="shared" si="23"/>
        <v>0</v>
      </c>
      <c r="AR49" s="75" t="s">
        <v>71</v>
      </c>
      <c r="AT49" s="75" t="s">
        <v>883</v>
      </c>
      <c r="AU49" s="75" t="s">
        <v>63</v>
      </c>
      <c r="AY49" s="47" t="s">
        <v>881</v>
      </c>
      <c r="BE49" s="76">
        <f t="shared" si="24"/>
        <v>0</v>
      </c>
      <c r="BF49" s="76">
        <f t="shared" si="25"/>
        <v>0</v>
      </c>
      <c r="BG49" s="76">
        <f t="shared" si="26"/>
        <v>0</v>
      </c>
      <c r="BH49" s="76">
        <f t="shared" si="27"/>
        <v>0</v>
      </c>
      <c r="BI49" s="76">
        <f t="shared" si="28"/>
        <v>0</v>
      </c>
      <c r="BJ49" s="47" t="s">
        <v>63</v>
      </c>
      <c r="BK49" s="76">
        <f t="shared" si="29"/>
        <v>0</v>
      </c>
      <c r="BL49" s="47" t="s">
        <v>71</v>
      </c>
      <c r="BM49" s="75" t="s">
        <v>967</v>
      </c>
    </row>
    <row r="50" spans="3:65" s="48" customFormat="1" ht="16.5" customHeight="1">
      <c r="C50" s="85" t="s">
        <v>198</v>
      </c>
      <c r="D50" s="85" t="s">
        <v>201</v>
      </c>
      <c r="E50" s="86" t="s">
        <v>968</v>
      </c>
      <c r="F50" s="87" t="s">
        <v>969</v>
      </c>
      <c r="G50" s="88" t="s">
        <v>74</v>
      </c>
      <c r="H50" s="89">
        <v>479.75</v>
      </c>
      <c r="I50" s="528"/>
      <c r="J50" s="90">
        <f t="shared" si="20"/>
        <v>0</v>
      </c>
      <c r="K50" s="522"/>
      <c r="L50" s="533" t="s">
        <v>2130</v>
      </c>
      <c r="M50" s="531" t="s">
        <v>854</v>
      </c>
      <c r="N50" s="78" t="s">
        <v>861</v>
      </c>
      <c r="O50" s="73">
        <v>0</v>
      </c>
      <c r="P50" s="73">
        <f t="shared" si="21"/>
        <v>0</v>
      </c>
      <c r="Q50" s="73">
        <v>0.0177</v>
      </c>
      <c r="R50" s="73">
        <f t="shared" si="22"/>
        <v>8.491575000000001</v>
      </c>
      <c r="S50" s="73">
        <v>0</v>
      </c>
      <c r="T50" s="74">
        <f t="shared" si="23"/>
        <v>0</v>
      </c>
      <c r="AR50" s="75" t="s">
        <v>94</v>
      </c>
      <c r="AT50" s="75" t="s">
        <v>201</v>
      </c>
      <c r="AU50" s="75" t="s">
        <v>63</v>
      </c>
      <c r="AY50" s="47" t="s">
        <v>881</v>
      </c>
      <c r="BE50" s="76">
        <f t="shared" si="24"/>
        <v>0</v>
      </c>
      <c r="BF50" s="76">
        <f t="shared" si="25"/>
        <v>0</v>
      </c>
      <c r="BG50" s="76">
        <f t="shared" si="26"/>
        <v>0</v>
      </c>
      <c r="BH50" s="76">
        <f t="shared" si="27"/>
        <v>0</v>
      </c>
      <c r="BI50" s="76">
        <f t="shared" si="28"/>
        <v>0</v>
      </c>
      <c r="BJ50" s="47" t="s">
        <v>63</v>
      </c>
      <c r="BK50" s="76">
        <f t="shared" si="29"/>
        <v>0</v>
      </c>
      <c r="BL50" s="47" t="s">
        <v>71</v>
      </c>
      <c r="BM50" s="75" t="s">
        <v>970</v>
      </c>
    </row>
    <row r="51" spans="3:65" s="48" customFormat="1" ht="24.15" customHeight="1">
      <c r="C51" s="79" t="s">
        <v>206</v>
      </c>
      <c r="D51" s="79" t="s">
        <v>883</v>
      </c>
      <c r="E51" s="80" t="s">
        <v>971</v>
      </c>
      <c r="F51" s="81" t="s">
        <v>972</v>
      </c>
      <c r="G51" s="82" t="s">
        <v>74</v>
      </c>
      <c r="H51" s="83">
        <v>152</v>
      </c>
      <c r="I51" s="527"/>
      <c r="J51" s="84">
        <f t="shared" si="20"/>
        <v>0</v>
      </c>
      <c r="K51" s="521"/>
      <c r="L51" s="533" t="s">
        <v>2474</v>
      </c>
      <c r="M51" s="530" t="s">
        <v>854</v>
      </c>
      <c r="N51" s="72" t="s">
        <v>861</v>
      </c>
      <c r="O51" s="73">
        <v>0.622</v>
      </c>
      <c r="P51" s="73">
        <f t="shared" si="21"/>
        <v>94.544</v>
      </c>
      <c r="Q51" s="73">
        <v>0</v>
      </c>
      <c r="R51" s="73">
        <f t="shared" si="22"/>
        <v>0</v>
      </c>
      <c r="S51" s="73">
        <v>0</v>
      </c>
      <c r="T51" s="74">
        <f t="shared" si="23"/>
        <v>0</v>
      </c>
      <c r="AR51" s="75" t="s">
        <v>71</v>
      </c>
      <c r="AT51" s="75" t="s">
        <v>883</v>
      </c>
      <c r="AU51" s="75" t="s">
        <v>63</v>
      </c>
      <c r="AY51" s="47" t="s">
        <v>881</v>
      </c>
      <c r="BE51" s="76">
        <f t="shared" si="24"/>
        <v>0</v>
      </c>
      <c r="BF51" s="76">
        <f t="shared" si="25"/>
        <v>0</v>
      </c>
      <c r="BG51" s="76">
        <f t="shared" si="26"/>
        <v>0</v>
      </c>
      <c r="BH51" s="76">
        <f t="shared" si="27"/>
        <v>0</v>
      </c>
      <c r="BI51" s="76">
        <f t="shared" si="28"/>
        <v>0</v>
      </c>
      <c r="BJ51" s="47" t="s">
        <v>63</v>
      </c>
      <c r="BK51" s="76">
        <f t="shared" si="29"/>
        <v>0</v>
      </c>
      <c r="BL51" s="47" t="s">
        <v>71</v>
      </c>
      <c r="BM51" s="75" t="s">
        <v>973</v>
      </c>
    </row>
    <row r="52" spans="3:65" s="48" customFormat="1" ht="16.5" customHeight="1">
      <c r="C52" s="85" t="s">
        <v>211</v>
      </c>
      <c r="D52" s="85" t="s">
        <v>201</v>
      </c>
      <c r="E52" s="86" t="s">
        <v>974</v>
      </c>
      <c r="F52" s="87" t="s">
        <v>975</v>
      </c>
      <c r="G52" s="88" t="s">
        <v>74</v>
      </c>
      <c r="H52" s="89">
        <v>153.52</v>
      </c>
      <c r="I52" s="528"/>
      <c r="J52" s="90">
        <f t="shared" si="20"/>
        <v>0</v>
      </c>
      <c r="K52" s="522"/>
      <c r="L52" s="533" t="s">
        <v>2130</v>
      </c>
      <c r="M52" s="531" t="s">
        <v>854</v>
      </c>
      <c r="N52" s="78" t="s">
        <v>861</v>
      </c>
      <c r="O52" s="73">
        <v>0</v>
      </c>
      <c r="P52" s="73">
        <f t="shared" si="21"/>
        <v>0</v>
      </c>
      <c r="Q52" s="73">
        <v>0.028</v>
      </c>
      <c r="R52" s="73">
        <f t="shared" si="22"/>
        <v>4.29856</v>
      </c>
      <c r="S52" s="73">
        <v>0</v>
      </c>
      <c r="T52" s="74">
        <f t="shared" si="23"/>
        <v>0</v>
      </c>
      <c r="AR52" s="75" t="s">
        <v>94</v>
      </c>
      <c r="AT52" s="75" t="s">
        <v>201</v>
      </c>
      <c r="AU52" s="75" t="s">
        <v>63</v>
      </c>
      <c r="AY52" s="47" t="s">
        <v>881</v>
      </c>
      <c r="BE52" s="76">
        <f t="shared" si="24"/>
        <v>0</v>
      </c>
      <c r="BF52" s="76">
        <f t="shared" si="25"/>
        <v>0</v>
      </c>
      <c r="BG52" s="76">
        <f t="shared" si="26"/>
        <v>0</v>
      </c>
      <c r="BH52" s="76">
        <f t="shared" si="27"/>
        <v>0</v>
      </c>
      <c r="BI52" s="76">
        <f t="shared" si="28"/>
        <v>0</v>
      </c>
      <c r="BJ52" s="47" t="s">
        <v>63</v>
      </c>
      <c r="BK52" s="76">
        <f t="shared" si="29"/>
        <v>0</v>
      </c>
      <c r="BL52" s="47" t="s">
        <v>71</v>
      </c>
      <c r="BM52" s="75" t="s">
        <v>976</v>
      </c>
    </row>
    <row r="53" spans="3:65" s="48" customFormat="1" ht="24.15" customHeight="1">
      <c r="C53" s="79" t="s">
        <v>108</v>
      </c>
      <c r="D53" s="79" t="s">
        <v>883</v>
      </c>
      <c r="E53" s="80" t="s">
        <v>977</v>
      </c>
      <c r="F53" s="81" t="s">
        <v>978</v>
      </c>
      <c r="G53" s="82" t="s">
        <v>260</v>
      </c>
      <c r="H53" s="83">
        <v>1</v>
      </c>
      <c r="I53" s="527"/>
      <c r="J53" s="84">
        <f t="shared" si="20"/>
        <v>0</v>
      </c>
      <c r="K53" s="521"/>
      <c r="L53" s="533" t="s">
        <v>2474</v>
      </c>
      <c r="M53" s="530" t="s">
        <v>854</v>
      </c>
      <c r="N53" s="72" t="s">
        <v>861</v>
      </c>
      <c r="O53" s="73">
        <v>1.527</v>
      </c>
      <c r="P53" s="73">
        <f t="shared" si="21"/>
        <v>1.527</v>
      </c>
      <c r="Q53" s="73">
        <v>0</v>
      </c>
      <c r="R53" s="73">
        <f t="shared" si="22"/>
        <v>0</v>
      </c>
      <c r="S53" s="73">
        <v>0</v>
      </c>
      <c r="T53" s="74">
        <f t="shared" si="23"/>
        <v>0</v>
      </c>
      <c r="AR53" s="75" t="s">
        <v>71</v>
      </c>
      <c r="AT53" s="75" t="s">
        <v>883</v>
      </c>
      <c r="AU53" s="75" t="s">
        <v>63</v>
      </c>
      <c r="AY53" s="47" t="s">
        <v>881</v>
      </c>
      <c r="BE53" s="76">
        <f t="shared" si="24"/>
        <v>0</v>
      </c>
      <c r="BF53" s="76">
        <f t="shared" si="25"/>
        <v>0</v>
      </c>
      <c r="BG53" s="76">
        <f t="shared" si="26"/>
        <v>0</v>
      </c>
      <c r="BH53" s="76">
        <f t="shared" si="27"/>
        <v>0</v>
      </c>
      <c r="BI53" s="76">
        <f t="shared" si="28"/>
        <v>0</v>
      </c>
      <c r="BJ53" s="47" t="s">
        <v>63</v>
      </c>
      <c r="BK53" s="76">
        <f t="shared" si="29"/>
        <v>0</v>
      </c>
      <c r="BL53" s="47" t="s">
        <v>71</v>
      </c>
      <c r="BM53" s="75" t="s">
        <v>979</v>
      </c>
    </row>
    <row r="54" spans="3:65" s="48" customFormat="1" ht="24.15" customHeight="1">
      <c r="C54" s="79" t="s">
        <v>221</v>
      </c>
      <c r="D54" s="79" t="s">
        <v>883</v>
      </c>
      <c r="E54" s="80" t="s">
        <v>980</v>
      </c>
      <c r="F54" s="81" t="s">
        <v>981</v>
      </c>
      <c r="G54" s="82" t="s">
        <v>260</v>
      </c>
      <c r="H54" s="83">
        <v>1</v>
      </c>
      <c r="I54" s="527"/>
      <c r="J54" s="84">
        <f t="shared" si="20"/>
        <v>0</v>
      </c>
      <c r="K54" s="521"/>
      <c r="L54" s="533" t="s">
        <v>2474</v>
      </c>
      <c r="M54" s="530" t="s">
        <v>854</v>
      </c>
      <c r="N54" s="72" t="s">
        <v>861</v>
      </c>
      <c r="O54" s="73">
        <v>0.759</v>
      </c>
      <c r="P54" s="73">
        <f t="shared" si="21"/>
        <v>0.759</v>
      </c>
      <c r="Q54" s="73">
        <v>0.00167</v>
      </c>
      <c r="R54" s="73">
        <f t="shared" si="22"/>
        <v>0.00167</v>
      </c>
      <c r="S54" s="73">
        <v>0</v>
      </c>
      <c r="T54" s="74">
        <f t="shared" si="23"/>
        <v>0</v>
      </c>
      <c r="AR54" s="75" t="s">
        <v>71</v>
      </c>
      <c r="AT54" s="75" t="s">
        <v>883</v>
      </c>
      <c r="AU54" s="75" t="s">
        <v>63</v>
      </c>
      <c r="AY54" s="47" t="s">
        <v>881</v>
      </c>
      <c r="BE54" s="76">
        <f t="shared" si="24"/>
        <v>0</v>
      </c>
      <c r="BF54" s="76">
        <f t="shared" si="25"/>
        <v>0</v>
      </c>
      <c r="BG54" s="76">
        <f t="shared" si="26"/>
        <v>0</v>
      </c>
      <c r="BH54" s="76">
        <f t="shared" si="27"/>
        <v>0</v>
      </c>
      <c r="BI54" s="76">
        <f t="shared" si="28"/>
        <v>0</v>
      </c>
      <c r="BJ54" s="47" t="s">
        <v>63</v>
      </c>
      <c r="BK54" s="76">
        <f t="shared" si="29"/>
        <v>0</v>
      </c>
      <c r="BL54" s="47" t="s">
        <v>71</v>
      </c>
      <c r="BM54" s="75" t="s">
        <v>982</v>
      </c>
    </row>
    <row r="55" spans="3:65" s="48" customFormat="1" ht="24.15" customHeight="1">
      <c r="C55" s="79" t="s">
        <v>226</v>
      </c>
      <c r="D55" s="79" t="s">
        <v>883</v>
      </c>
      <c r="E55" s="80" t="s">
        <v>983</v>
      </c>
      <c r="F55" s="81" t="s">
        <v>984</v>
      </c>
      <c r="G55" s="82" t="s">
        <v>260</v>
      </c>
      <c r="H55" s="83">
        <v>19</v>
      </c>
      <c r="I55" s="527"/>
      <c r="J55" s="84">
        <f t="shared" si="20"/>
        <v>0</v>
      </c>
      <c r="K55" s="521"/>
      <c r="L55" s="533" t="s">
        <v>2474</v>
      </c>
      <c r="M55" s="530" t="s">
        <v>854</v>
      </c>
      <c r="N55" s="72" t="s">
        <v>861</v>
      </c>
      <c r="O55" s="73">
        <v>1.592</v>
      </c>
      <c r="P55" s="73">
        <f t="shared" si="21"/>
        <v>30.248</v>
      </c>
      <c r="Q55" s="73">
        <v>0</v>
      </c>
      <c r="R55" s="73">
        <f t="shared" si="22"/>
        <v>0</v>
      </c>
      <c r="S55" s="73">
        <v>0.0116</v>
      </c>
      <c r="T55" s="74">
        <f t="shared" si="23"/>
        <v>0.22039999999999998</v>
      </c>
      <c r="AR55" s="75" t="s">
        <v>71</v>
      </c>
      <c r="AT55" s="75" t="s">
        <v>883</v>
      </c>
      <c r="AU55" s="75" t="s">
        <v>63</v>
      </c>
      <c r="AY55" s="47" t="s">
        <v>881</v>
      </c>
      <c r="BE55" s="76">
        <f t="shared" si="24"/>
        <v>0</v>
      </c>
      <c r="BF55" s="76">
        <f t="shared" si="25"/>
        <v>0</v>
      </c>
      <c r="BG55" s="76">
        <f t="shared" si="26"/>
        <v>0</v>
      </c>
      <c r="BH55" s="76">
        <f t="shared" si="27"/>
        <v>0</v>
      </c>
      <c r="BI55" s="76">
        <f t="shared" si="28"/>
        <v>0</v>
      </c>
      <c r="BJ55" s="47" t="s">
        <v>63</v>
      </c>
      <c r="BK55" s="76">
        <f t="shared" si="29"/>
        <v>0</v>
      </c>
      <c r="BL55" s="47" t="s">
        <v>71</v>
      </c>
      <c r="BM55" s="75" t="s">
        <v>985</v>
      </c>
    </row>
    <row r="56" spans="3:65" s="48" customFormat="1" ht="16.5" customHeight="1">
      <c r="C56" s="85" t="s">
        <v>229</v>
      </c>
      <c r="D56" s="85" t="s">
        <v>201</v>
      </c>
      <c r="E56" s="86" t="s">
        <v>986</v>
      </c>
      <c r="F56" s="87" t="s">
        <v>987</v>
      </c>
      <c r="G56" s="88" t="s">
        <v>260</v>
      </c>
      <c r="H56" s="89">
        <v>3</v>
      </c>
      <c r="I56" s="528"/>
      <c r="J56" s="90">
        <f t="shared" si="20"/>
        <v>0</v>
      </c>
      <c r="K56" s="522"/>
      <c r="L56" s="533" t="s">
        <v>2474</v>
      </c>
      <c r="M56" s="531" t="s">
        <v>854</v>
      </c>
      <c r="N56" s="78" t="s">
        <v>861</v>
      </c>
      <c r="O56" s="73">
        <v>0</v>
      </c>
      <c r="P56" s="73">
        <f t="shared" si="21"/>
        <v>0</v>
      </c>
      <c r="Q56" s="73">
        <v>0.0092</v>
      </c>
      <c r="R56" s="73">
        <f t="shared" si="22"/>
        <v>0.0276</v>
      </c>
      <c r="S56" s="73">
        <v>0</v>
      </c>
      <c r="T56" s="74">
        <f t="shared" si="23"/>
        <v>0</v>
      </c>
      <c r="AR56" s="75" t="s">
        <v>94</v>
      </c>
      <c r="AT56" s="75" t="s">
        <v>201</v>
      </c>
      <c r="AU56" s="75" t="s">
        <v>63</v>
      </c>
      <c r="AY56" s="47" t="s">
        <v>881</v>
      </c>
      <c r="BE56" s="76">
        <f t="shared" si="24"/>
        <v>0</v>
      </c>
      <c r="BF56" s="76">
        <f t="shared" si="25"/>
        <v>0</v>
      </c>
      <c r="BG56" s="76">
        <f t="shared" si="26"/>
        <v>0</v>
      </c>
      <c r="BH56" s="76">
        <f t="shared" si="27"/>
        <v>0</v>
      </c>
      <c r="BI56" s="76">
        <f t="shared" si="28"/>
        <v>0</v>
      </c>
      <c r="BJ56" s="47" t="s">
        <v>63</v>
      </c>
      <c r="BK56" s="76">
        <f t="shared" si="29"/>
        <v>0</v>
      </c>
      <c r="BL56" s="47" t="s">
        <v>71</v>
      </c>
      <c r="BM56" s="75" t="s">
        <v>988</v>
      </c>
    </row>
    <row r="57" spans="3:65" s="48" customFormat="1" ht="16.5" customHeight="1">
      <c r="C57" s="85" t="s">
        <v>112</v>
      </c>
      <c r="D57" s="85" t="s">
        <v>201</v>
      </c>
      <c r="E57" s="86" t="s">
        <v>989</v>
      </c>
      <c r="F57" s="87" t="s">
        <v>990</v>
      </c>
      <c r="G57" s="88" t="s">
        <v>260</v>
      </c>
      <c r="H57" s="89">
        <v>2</v>
      </c>
      <c r="I57" s="528"/>
      <c r="J57" s="90">
        <f t="shared" si="20"/>
        <v>0</v>
      </c>
      <c r="K57" s="522"/>
      <c r="L57" s="533" t="s">
        <v>2474</v>
      </c>
      <c r="M57" s="531" t="s">
        <v>854</v>
      </c>
      <c r="N57" s="78" t="s">
        <v>861</v>
      </c>
      <c r="O57" s="73">
        <v>0</v>
      </c>
      <c r="P57" s="73">
        <f t="shared" si="21"/>
        <v>0</v>
      </c>
      <c r="Q57" s="73">
        <v>0.0137</v>
      </c>
      <c r="R57" s="73">
        <f t="shared" si="22"/>
        <v>0.0274</v>
      </c>
      <c r="S57" s="73">
        <v>0</v>
      </c>
      <c r="T57" s="74">
        <f t="shared" si="23"/>
        <v>0</v>
      </c>
      <c r="AR57" s="75" t="s">
        <v>94</v>
      </c>
      <c r="AT57" s="75" t="s">
        <v>201</v>
      </c>
      <c r="AU57" s="75" t="s">
        <v>63</v>
      </c>
      <c r="AY57" s="47" t="s">
        <v>881</v>
      </c>
      <c r="BE57" s="76">
        <f t="shared" si="24"/>
        <v>0</v>
      </c>
      <c r="BF57" s="76">
        <f t="shared" si="25"/>
        <v>0</v>
      </c>
      <c r="BG57" s="76">
        <f t="shared" si="26"/>
        <v>0</v>
      </c>
      <c r="BH57" s="76">
        <f t="shared" si="27"/>
        <v>0</v>
      </c>
      <c r="BI57" s="76">
        <f t="shared" si="28"/>
        <v>0</v>
      </c>
      <c r="BJ57" s="47" t="s">
        <v>63</v>
      </c>
      <c r="BK57" s="76">
        <f t="shared" si="29"/>
        <v>0</v>
      </c>
      <c r="BL57" s="47" t="s">
        <v>71</v>
      </c>
      <c r="BM57" s="75" t="s">
        <v>991</v>
      </c>
    </row>
    <row r="58" spans="3:65" s="48" customFormat="1" ht="16.5" customHeight="1">
      <c r="C58" s="85" t="s">
        <v>237</v>
      </c>
      <c r="D58" s="85" t="s">
        <v>201</v>
      </c>
      <c r="E58" s="86" t="s">
        <v>992</v>
      </c>
      <c r="F58" s="87" t="s">
        <v>993</v>
      </c>
      <c r="G58" s="88" t="s">
        <v>260</v>
      </c>
      <c r="H58" s="89">
        <v>2</v>
      </c>
      <c r="I58" s="528"/>
      <c r="J58" s="90">
        <f t="shared" si="20"/>
        <v>0</v>
      </c>
      <c r="K58" s="522"/>
      <c r="L58" s="533" t="s">
        <v>2474</v>
      </c>
      <c r="M58" s="531" t="s">
        <v>854</v>
      </c>
      <c r="N58" s="78" t="s">
        <v>861</v>
      </c>
      <c r="O58" s="73">
        <v>0</v>
      </c>
      <c r="P58" s="73">
        <f t="shared" si="21"/>
        <v>0</v>
      </c>
      <c r="Q58" s="73">
        <v>0.0165</v>
      </c>
      <c r="R58" s="73">
        <f t="shared" si="22"/>
        <v>0.033</v>
      </c>
      <c r="S58" s="73">
        <v>0</v>
      </c>
      <c r="T58" s="74">
        <f t="shared" si="23"/>
        <v>0</v>
      </c>
      <c r="AR58" s="75" t="s">
        <v>94</v>
      </c>
      <c r="AT58" s="75" t="s">
        <v>201</v>
      </c>
      <c r="AU58" s="75" t="s">
        <v>63</v>
      </c>
      <c r="AY58" s="47" t="s">
        <v>881</v>
      </c>
      <c r="BE58" s="76">
        <f t="shared" si="24"/>
        <v>0</v>
      </c>
      <c r="BF58" s="76">
        <f t="shared" si="25"/>
        <v>0</v>
      </c>
      <c r="BG58" s="76">
        <f t="shared" si="26"/>
        <v>0</v>
      </c>
      <c r="BH58" s="76">
        <f t="shared" si="27"/>
        <v>0</v>
      </c>
      <c r="BI58" s="76">
        <f t="shared" si="28"/>
        <v>0</v>
      </c>
      <c r="BJ58" s="47" t="s">
        <v>63</v>
      </c>
      <c r="BK58" s="76">
        <f t="shared" si="29"/>
        <v>0</v>
      </c>
      <c r="BL58" s="47" t="s">
        <v>71</v>
      </c>
      <c r="BM58" s="75" t="s">
        <v>994</v>
      </c>
    </row>
    <row r="59" spans="3:65" s="48" customFormat="1" ht="24.15" customHeight="1">
      <c r="C59" s="85" t="s">
        <v>243</v>
      </c>
      <c r="D59" s="85" t="s">
        <v>201</v>
      </c>
      <c r="E59" s="86" t="s">
        <v>995</v>
      </c>
      <c r="F59" s="87" t="s">
        <v>996</v>
      </c>
      <c r="G59" s="88" t="s">
        <v>260</v>
      </c>
      <c r="H59" s="89">
        <v>1</v>
      </c>
      <c r="I59" s="528"/>
      <c r="J59" s="90">
        <f t="shared" si="20"/>
        <v>0</v>
      </c>
      <c r="K59" s="522"/>
      <c r="L59" s="533" t="s">
        <v>2474</v>
      </c>
      <c r="M59" s="531" t="s">
        <v>854</v>
      </c>
      <c r="N59" s="78" t="s">
        <v>861</v>
      </c>
      <c r="O59" s="73">
        <v>0</v>
      </c>
      <c r="P59" s="73">
        <f t="shared" si="21"/>
        <v>0</v>
      </c>
      <c r="Q59" s="73">
        <v>0.0122</v>
      </c>
      <c r="R59" s="73">
        <f t="shared" si="22"/>
        <v>0.0122</v>
      </c>
      <c r="S59" s="73">
        <v>0</v>
      </c>
      <c r="T59" s="74">
        <f t="shared" si="23"/>
        <v>0</v>
      </c>
      <c r="AR59" s="75" t="s">
        <v>94</v>
      </c>
      <c r="AT59" s="75" t="s">
        <v>201</v>
      </c>
      <c r="AU59" s="75" t="s">
        <v>63</v>
      </c>
      <c r="AY59" s="47" t="s">
        <v>881</v>
      </c>
      <c r="BE59" s="76">
        <f t="shared" si="24"/>
        <v>0</v>
      </c>
      <c r="BF59" s="76">
        <f t="shared" si="25"/>
        <v>0</v>
      </c>
      <c r="BG59" s="76">
        <f t="shared" si="26"/>
        <v>0</v>
      </c>
      <c r="BH59" s="76">
        <f t="shared" si="27"/>
        <v>0</v>
      </c>
      <c r="BI59" s="76">
        <f t="shared" si="28"/>
        <v>0</v>
      </c>
      <c r="BJ59" s="47" t="s">
        <v>63</v>
      </c>
      <c r="BK59" s="76">
        <f t="shared" si="29"/>
        <v>0</v>
      </c>
      <c r="BL59" s="47" t="s">
        <v>71</v>
      </c>
      <c r="BM59" s="75" t="s">
        <v>997</v>
      </c>
    </row>
    <row r="60" spans="3:65" s="48" customFormat="1" ht="16.5" customHeight="1">
      <c r="C60" s="85" t="s">
        <v>144</v>
      </c>
      <c r="D60" s="85" t="s">
        <v>201</v>
      </c>
      <c r="E60" s="86" t="s">
        <v>998</v>
      </c>
      <c r="F60" s="87" t="s">
        <v>999</v>
      </c>
      <c r="G60" s="88" t="s">
        <v>260</v>
      </c>
      <c r="H60" s="89">
        <v>1</v>
      </c>
      <c r="I60" s="528"/>
      <c r="J60" s="90">
        <f t="shared" si="20"/>
        <v>0</v>
      </c>
      <c r="K60" s="522"/>
      <c r="L60" s="533" t="s">
        <v>2474</v>
      </c>
      <c r="M60" s="531" t="s">
        <v>854</v>
      </c>
      <c r="N60" s="78" t="s">
        <v>861</v>
      </c>
      <c r="O60" s="73">
        <v>0</v>
      </c>
      <c r="P60" s="73">
        <f t="shared" si="21"/>
        <v>0</v>
      </c>
      <c r="Q60" s="73">
        <v>0.0107</v>
      </c>
      <c r="R60" s="73">
        <f t="shared" si="22"/>
        <v>0.0107</v>
      </c>
      <c r="S60" s="73">
        <v>0</v>
      </c>
      <c r="T60" s="74">
        <f t="shared" si="23"/>
        <v>0</v>
      </c>
      <c r="AR60" s="75" t="s">
        <v>94</v>
      </c>
      <c r="AT60" s="75" t="s">
        <v>201</v>
      </c>
      <c r="AU60" s="75" t="s">
        <v>63</v>
      </c>
      <c r="AY60" s="47" t="s">
        <v>881</v>
      </c>
      <c r="BE60" s="76">
        <f t="shared" si="24"/>
        <v>0</v>
      </c>
      <c r="BF60" s="76">
        <f t="shared" si="25"/>
        <v>0</v>
      </c>
      <c r="BG60" s="76">
        <f t="shared" si="26"/>
        <v>0</v>
      </c>
      <c r="BH60" s="76">
        <f t="shared" si="27"/>
        <v>0</v>
      </c>
      <c r="BI60" s="76">
        <f t="shared" si="28"/>
        <v>0</v>
      </c>
      <c r="BJ60" s="47" t="s">
        <v>63</v>
      </c>
      <c r="BK60" s="76">
        <f t="shared" si="29"/>
        <v>0</v>
      </c>
      <c r="BL60" s="47" t="s">
        <v>71</v>
      </c>
      <c r="BM60" s="75" t="s">
        <v>1000</v>
      </c>
    </row>
    <row r="61" spans="3:65" s="48" customFormat="1" ht="16.5" customHeight="1">
      <c r="C61" s="85" t="s">
        <v>250</v>
      </c>
      <c r="D61" s="85" t="s">
        <v>201</v>
      </c>
      <c r="E61" s="86" t="s">
        <v>1001</v>
      </c>
      <c r="F61" s="87" t="s">
        <v>1002</v>
      </c>
      <c r="G61" s="88" t="s">
        <v>260</v>
      </c>
      <c r="H61" s="89">
        <v>6</v>
      </c>
      <c r="I61" s="528"/>
      <c r="J61" s="90">
        <f t="shared" si="20"/>
        <v>0</v>
      </c>
      <c r="K61" s="522"/>
      <c r="L61" s="533" t="s">
        <v>2474</v>
      </c>
      <c r="M61" s="531" t="s">
        <v>854</v>
      </c>
      <c r="N61" s="78" t="s">
        <v>861</v>
      </c>
      <c r="O61" s="73">
        <v>0</v>
      </c>
      <c r="P61" s="73">
        <f t="shared" si="21"/>
        <v>0</v>
      </c>
      <c r="Q61" s="73">
        <v>0.0123</v>
      </c>
      <c r="R61" s="73">
        <f t="shared" si="22"/>
        <v>0.0738</v>
      </c>
      <c r="S61" s="73">
        <v>0</v>
      </c>
      <c r="T61" s="74">
        <f t="shared" si="23"/>
        <v>0</v>
      </c>
      <c r="AR61" s="75" t="s">
        <v>94</v>
      </c>
      <c r="AT61" s="75" t="s">
        <v>201</v>
      </c>
      <c r="AU61" s="75" t="s">
        <v>63</v>
      </c>
      <c r="AY61" s="47" t="s">
        <v>881</v>
      </c>
      <c r="BE61" s="76">
        <f t="shared" si="24"/>
        <v>0</v>
      </c>
      <c r="BF61" s="76">
        <f t="shared" si="25"/>
        <v>0</v>
      </c>
      <c r="BG61" s="76">
        <f t="shared" si="26"/>
        <v>0</v>
      </c>
      <c r="BH61" s="76">
        <f t="shared" si="27"/>
        <v>0</v>
      </c>
      <c r="BI61" s="76">
        <f t="shared" si="28"/>
        <v>0</v>
      </c>
      <c r="BJ61" s="47" t="s">
        <v>63</v>
      </c>
      <c r="BK61" s="76">
        <f t="shared" si="29"/>
        <v>0</v>
      </c>
      <c r="BL61" s="47" t="s">
        <v>71</v>
      </c>
      <c r="BM61" s="75" t="s">
        <v>1003</v>
      </c>
    </row>
    <row r="62" spans="3:65" s="48" customFormat="1" ht="16.5" customHeight="1">
      <c r="C62" s="85" t="s">
        <v>253</v>
      </c>
      <c r="D62" s="85" t="s">
        <v>201</v>
      </c>
      <c r="E62" s="86" t="s">
        <v>1004</v>
      </c>
      <c r="F62" s="87" t="s">
        <v>1005</v>
      </c>
      <c r="G62" s="88" t="s">
        <v>260</v>
      </c>
      <c r="H62" s="89">
        <v>4</v>
      </c>
      <c r="I62" s="528"/>
      <c r="J62" s="90">
        <f t="shared" si="20"/>
        <v>0</v>
      </c>
      <c r="K62" s="522"/>
      <c r="L62" s="533" t="s">
        <v>2474</v>
      </c>
      <c r="M62" s="531" t="s">
        <v>854</v>
      </c>
      <c r="N62" s="78" t="s">
        <v>861</v>
      </c>
      <c r="O62" s="73">
        <v>0</v>
      </c>
      <c r="P62" s="73">
        <f t="shared" si="21"/>
        <v>0</v>
      </c>
      <c r="Q62" s="73">
        <v>0.02414</v>
      </c>
      <c r="R62" s="73">
        <f t="shared" si="22"/>
        <v>0.09656</v>
      </c>
      <c r="S62" s="73">
        <v>0</v>
      </c>
      <c r="T62" s="74">
        <f t="shared" si="23"/>
        <v>0</v>
      </c>
      <c r="AR62" s="75" t="s">
        <v>94</v>
      </c>
      <c r="AT62" s="75" t="s">
        <v>201</v>
      </c>
      <c r="AU62" s="75" t="s">
        <v>63</v>
      </c>
      <c r="AY62" s="47" t="s">
        <v>881</v>
      </c>
      <c r="BE62" s="76">
        <f t="shared" si="24"/>
        <v>0</v>
      </c>
      <c r="BF62" s="76">
        <f t="shared" si="25"/>
        <v>0</v>
      </c>
      <c r="BG62" s="76">
        <f t="shared" si="26"/>
        <v>0</v>
      </c>
      <c r="BH62" s="76">
        <f t="shared" si="27"/>
        <v>0</v>
      </c>
      <c r="BI62" s="76">
        <f t="shared" si="28"/>
        <v>0</v>
      </c>
      <c r="BJ62" s="47" t="s">
        <v>63</v>
      </c>
      <c r="BK62" s="76">
        <f t="shared" si="29"/>
        <v>0</v>
      </c>
      <c r="BL62" s="47" t="s">
        <v>71</v>
      </c>
      <c r="BM62" s="75" t="s">
        <v>1006</v>
      </c>
    </row>
    <row r="63" spans="3:65" s="48" customFormat="1" ht="16.5" customHeight="1">
      <c r="C63" s="85" t="s">
        <v>257</v>
      </c>
      <c r="D63" s="85" t="s">
        <v>201</v>
      </c>
      <c r="E63" s="86" t="s">
        <v>1007</v>
      </c>
      <c r="F63" s="87" t="s">
        <v>1008</v>
      </c>
      <c r="G63" s="88" t="s">
        <v>260</v>
      </c>
      <c r="H63" s="89">
        <v>2</v>
      </c>
      <c r="I63" s="528"/>
      <c r="J63" s="90">
        <f t="shared" si="20"/>
        <v>0</v>
      </c>
      <c r="K63" s="522"/>
      <c r="L63" s="533" t="s">
        <v>2474</v>
      </c>
      <c r="M63" s="531" t="s">
        <v>854</v>
      </c>
      <c r="N63" s="78" t="s">
        <v>861</v>
      </c>
      <c r="O63" s="73">
        <v>0</v>
      </c>
      <c r="P63" s="73">
        <f t="shared" si="21"/>
        <v>0</v>
      </c>
      <c r="Q63" s="73">
        <v>0.0104</v>
      </c>
      <c r="R63" s="73">
        <f t="shared" si="22"/>
        <v>0.0208</v>
      </c>
      <c r="S63" s="73">
        <v>0</v>
      </c>
      <c r="T63" s="74">
        <f t="shared" si="23"/>
        <v>0</v>
      </c>
      <c r="AR63" s="75" t="s">
        <v>94</v>
      </c>
      <c r="AT63" s="75" t="s">
        <v>201</v>
      </c>
      <c r="AU63" s="75" t="s">
        <v>63</v>
      </c>
      <c r="AY63" s="47" t="s">
        <v>881</v>
      </c>
      <c r="BE63" s="76">
        <f t="shared" si="24"/>
        <v>0</v>
      </c>
      <c r="BF63" s="76">
        <f t="shared" si="25"/>
        <v>0</v>
      </c>
      <c r="BG63" s="76">
        <f t="shared" si="26"/>
        <v>0</v>
      </c>
      <c r="BH63" s="76">
        <f t="shared" si="27"/>
        <v>0</v>
      </c>
      <c r="BI63" s="76">
        <f t="shared" si="28"/>
        <v>0</v>
      </c>
      <c r="BJ63" s="47" t="s">
        <v>63</v>
      </c>
      <c r="BK63" s="76">
        <f t="shared" si="29"/>
        <v>0</v>
      </c>
      <c r="BL63" s="47" t="s">
        <v>71</v>
      </c>
      <c r="BM63" s="75" t="s">
        <v>1009</v>
      </c>
    </row>
    <row r="64" spans="3:65" s="48" customFormat="1" ht="16.5" customHeight="1">
      <c r="C64" s="85" t="s">
        <v>262</v>
      </c>
      <c r="D64" s="85" t="s">
        <v>201</v>
      </c>
      <c r="E64" s="86" t="s">
        <v>1010</v>
      </c>
      <c r="F64" s="87" t="s">
        <v>1011</v>
      </c>
      <c r="G64" s="88" t="s">
        <v>260</v>
      </c>
      <c r="H64" s="89">
        <v>2</v>
      </c>
      <c r="I64" s="528"/>
      <c r="J64" s="90">
        <f t="shared" si="20"/>
        <v>0</v>
      </c>
      <c r="K64" s="522"/>
      <c r="L64" s="533" t="s">
        <v>2474</v>
      </c>
      <c r="M64" s="531" t="s">
        <v>854</v>
      </c>
      <c r="N64" s="78" t="s">
        <v>861</v>
      </c>
      <c r="O64" s="73">
        <v>0</v>
      </c>
      <c r="P64" s="73">
        <f t="shared" si="21"/>
        <v>0</v>
      </c>
      <c r="Q64" s="73">
        <v>0.0088</v>
      </c>
      <c r="R64" s="73">
        <f t="shared" si="22"/>
        <v>0.0176</v>
      </c>
      <c r="S64" s="73">
        <v>0</v>
      </c>
      <c r="T64" s="74">
        <f t="shared" si="23"/>
        <v>0</v>
      </c>
      <c r="AR64" s="75" t="s">
        <v>94</v>
      </c>
      <c r="AT64" s="75" t="s">
        <v>201</v>
      </c>
      <c r="AU64" s="75" t="s">
        <v>63</v>
      </c>
      <c r="AY64" s="47" t="s">
        <v>881</v>
      </c>
      <c r="BE64" s="76">
        <f t="shared" si="24"/>
        <v>0</v>
      </c>
      <c r="BF64" s="76">
        <f t="shared" si="25"/>
        <v>0</v>
      </c>
      <c r="BG64" s="76">
        <f t="shared" si="26"/>
        <v>0</v>
      </c>
      <c r="BH64" s="76">
        <f t="shared" si="27"/>
        <v>0</v>
      </c>
      <c r="BI64" s="76">
        <f t="shared" si="28"/>
        <v>0</v>
      </c>
      <c r="BJ64" s="47" t="s">
        <v>63</v>
      </c>
      <c r="BK64" s="76">
        <f t="shared" si="29"/>
        <v>0</v>
      </c>
      <c r="BL64" s="47" t="s">
        <v>71</v>
      </c>
      <c r="BM64" s="75" t="s">
        <v>1012</v>
      </c>
    </row>
    <row r="65" spans="3:65" s="48" customFormat="1" ht="21.75" customHeight="1">
      <c r="C65" s="85" t="s">
        <v>266</v>
      </c>
      <c r="D65" s="85" t="s">
        <v>201</v>
      </c>
      <c r="E65" s="86" t="s">
        <v>1013</v>
      </c>
      <c r="F65" s="87" t="s">
        <v>1014</v>
      </c>
      <c r="G65" s="88" t="s">
        <v>260</v>
      </c>
      <c r="H65" s="89">
        <v>1</v>
      </c>
      <c r="I65" s="528"/>
      <c r="J65" s="90">
        <f t="shared" si="20"/>
        <v>0</v>
      </c>
      <c r="K65" s="522"/>
      <c r="L65" s="533" t="s">
        <v>2474</v>
      </c>
      <c r="M65" s="531" t="s">
        <v>854</v>
      </c>
      <c r="N65" s="78" t="s">
        <v>861</v>
      </c>
      <c r="O65" s="73">
        <v>0</v>
      </c>
      <c r="P65" s="73">
        <f t="shared" si="21"/>
        <v>0</v>
      </c>
      <c r="Q65" s="73">
        <v>0.0069</v>
      </c>
      <c r="R65" s="73">
        <f t="shared" si="22"/>
        <v>0.0069</v>
      </c>
      <c r="S65" s="73">
        <v>0</v>
      </c>
      <c r="T65" s="74">
        <f t="shared" si="23"/>
        <v>0</v>
      </c>
      <c r="AR65" s="75" t="s">
        <v>94</v>
      </c>
      <c r="AT65" s="75" t="s">
        <v>201</v>
      </c>
      <c r="AU65" s="75" t="s">
        <v>63</v>
      </c>
      <c r="AY65" s="47" t="s">
        <v>881</v>
      </c>
      <c r="BE65" s="76">
        <f t="shared" si="24"/>
        <v>0</v>
      </c>
      <c r="BF65" s="76">
        <f t="shared" si="25"/>
        <v>0</v>
      </c>
      <c r="BG65" s="76">
        <f t="shared" si="26"/>
        <v>0</v>
      </c>
      <c r="BH65" s="76">
        <f t="shared" si="27"/>
        <v>0</v>
      </c>
      <c r="BI65" s="76">
        <f t="shared" si="28"/>
        <v>0</v>
      </c>
      <c r="BJ65" s="47" t="s">
        <v>63</v>
      </c>
      <c r="BK65" s="76">
        <f t="shared" si="29"/>
        <v>0</v>
      </c>
      <c r="BL65" s="47" t="s">
        <v>71</v>
      </c>
      <c r="BM65" s="75" t="s">
        <v>1015</v>
      </c>
    </row>
    <row r="66" spans="3:65" s="48" customFormat="1" ht="21.75" customHeight="1">
      <c r="C66" s="85" t="s">
        <v>270</v>
      </c>
      <c r="D66" s="85" t="s">
        <v>201</v>
      </c>
      <c r="E66" s="86" t="s">
        <v>1016</v>
      </c>
      <c r="F66" s="87" t="s">
        <v>1017</v>
      </c>
      <c r="G66" s="88" t="s">
        <v>260</v>
      </c>
      <c r="H66" s="89">
        <v>11</v>
      </c>
      <c r="I66" s="528"/>
      <c r="J66" s="90">
        <f t="shared" si="20"/>
        <v>0</v>
      </c>
      <c r="K66" s="522"/>
      <c r="L66" s="533" t="s">
        <v>2474</v>
      </c>
      <c r="M66" s="531" t="s">
        <v>854</v>
      </c>
      <c r="N66" s="78" t="s">
        <v>861</v>
      </c>
      <c r="O66" s="73">
        <v>0</v>
      </c>
      <c r="P66" s="73">
        <f t="shared" si="21"/>
        <v>0</v>
      </c>
      <c r="Q66" s="73">
        <v>0.0088</v>
      </c>
      <c r="R66" s="73">
        <f t="shared" si="22"/>
        <v>0.09680000000000001</v>
      </c>
      <c r="S66" s="73">
        <v>0</v>
      </c>
      <c r="T66" s="74">
        <f t="shared" si="23"/>
        <v>0</v>
      </c>
      <c r="AR66" s="75" t="s">
        <v>94</v>
      </c>
      <c r="AT66" s="75" t="s">
        <v>201</v>
      </c>
      <c r="AU66" s="75" t="s">
        <v>63</v>
      </c>
      <c r="AY66" s="47" t="s">
        <v>881</v>
      </c>
      <c r="BE66" s="76">
        <f t="shared" si="24"/>
        <v>0</v>
      </c>
      <c r="BF66" s="76">
        <f t="shared" si="25"/>
        <v>0</v>
      </c>
      <c r="BG66" s="76">
        <f t="shared" si="26"/>
        <v>0</v>
      </c>
      <c r="BH66" s="76">
        <f t="shared" si="27"/>
        <v>0</v>
      </c>
      <c r="BI66" s="76">
        <f t="shared" si="28"/>
        <v>0</v>
      </c>
      <c r="BJ66" s="47" t="s">
        <v>63</v>
      </c>
      <c r="BK66" s="76">
        <f t="shared" si="29"/>
        <v>0</v>
      </c>
      <c r="BL66" s="47" t="s">
        <v>71</v>
      </c>
      <c r="BM66" s="75" t="s">
        <v>1018</v>
      </c>
    </row>
    <row r="67" spans="3:65" s="48" customFormat="1" ht="21.75" customHeight="1">
      <c r="C67" s="85" t="s">
        <v>275</v>
      </c>
      <c r="D67" s="85" t="s">
        <v>201</v>
      </c>
      <c r="E67" s="86" t="s">
        <v>1019</v>
      </c>
      <c r="F67" s="87" t="s">
        <v>1020</v>
      </c>
      <c r="G67" s="88" t="s">
        <v>260</v>
      </c>
      <c r="H67" s="89">
        <v>4</v>
      </c>
      <c r="I67" s="528"/>
      <c r="J67" s="90">
        <f t="shared" si="20"/>
        <v>0</v>
      </c>
      <c r="K67" s="522"/>
      <c r="L67" s="533" t="s">
        <v>2474</v>
      </c>
      <c r="M67" s="531" t="s">
        <v>854</v>
      </c>
      <c r="N67" s="78" t="s">
        <v>861</v>
      </c>
      <c r="O67" s="73">
        <v>0</v>
      </c>
      <c r="P67" s="73">
        <f t="shared" si="21"/>
        <v>0</v>
      </c>
      <c r="Q67" s="73">
        <v>0.016</v>
      </c>
      <c r="R67" s="73">
        <f t="shared" si="22"/>
        <v>0.064</v>
      </c>
      <c r="S67" s="73">
        <v>0</v>
      </c>
      <c r="T67" s="74">
        <f t="shared" si="23"/>
        <v>0</v>
      </c>
      <c r="AR67" s="75" t="s">
        <v>94</v>
      </c>
      <c r="AT67" s="75" t="s">
        <v>201</v>
      </c>
      <c r="AU67" s="75" t="s">
        <v>63</v>
      </c>
      <c r="AY67" s="47" t="s">
        <v>881</v>
      </c>
      <c r="BE67" s="76">
        <f t="shared" si="24"/>
        <v>0</v>
      </c>
      <c r="BF67" s="76">
        <f t="shared" si="25"/>
        <v>0</v>
      </c>
      <c r="BG67" s="76">
        <f t="shared" si="26"/>
        <v>0</v>
      </c>
      <c r="BH67" s="76">
        <f t="shared" si="27"/>
        <v>0</v>
      </c>
      <c r="BI67" s="76">
        <f t="shared" si="28"/>
        <v>0</v>
      </c>
      <c r="BJ67" s="47" t="s">
        <v>63</v>
      </c>
      <c r="BK67" s="76">
        <f t="shared" si="29"/>
        <v>0</v>
      </c>
      <c r="BL67" s="47" t="s">
        <v>71</v>
      </c>
      <c r="BM67" s="75" t="s">
        <v>1021</v>
      </c>
    </row>
    <row r="68" spans="3:65" s="48" customFormat="1" ht="16.5" customHeight="1">
      <c r="C68" s="85" t="s">
        <v>281</v>
      </c>
      <c r="D68" s="85" t="s">
        <v>201</v>
      </c>
      <c r="E68" s="86" t="s">
        <v>1022</v>
      </c>
      <c r="F68" s="87" t="s">
        <v>1023</v>
      </c>
      <c r="G68" s="88" t="s">
        <v>260</v>
      </c>
      <c r="H68" s="89">
        <v>3</v>
      </c>
      <c r="I68" s="528"/>
      <c r="J68" s="90">
        <f t="shared" si="20"/>
        <v>0</v>
      </c>
      <c r="K68" s="522"/>
      <c r="L68" s="533" t="s">
        <v>2474</v>
      </c>
      <c r="M68" s="531" t="s">
        <v>854</v>
      </c>
      <c r="N68" s="78" t="s">
        <v>861</v>
      </c>
      <c r="O68" s="73">
        <v>0</v>
      </c>
      <c r="P68" s="73">
        <f t="shared" si="21"/>
        <v>0</v>
      </c>
      <c r="Q68" s="73">
        <v>0.0101</v>
      </c>
      <c r="R68" s="73">
        <f t="shared" si="22"/>
        <v>0.0303</v>
      </c>
      <c r="S68" s="73">
        <v>0</v>
      </c>
      <c r="T68" s="74">
        <f t="shared" si="23"/>
        <v>0</v>
      </c>
      <c r="AR68" s="75" t="s">
        <v>94</v>
      </c>
      <c r="AT68" s="75" t="s">
        <v>201</v>
      </c>
      <c r="AU68" s="75" t="s">
        <v>63</v>
      </c>
      <c r="AY68" s="47" t="s">
        <v>881</v>
      </c>
      <c r="BE68" s="76">
        <f t="shared" si="24"/>
        <v>0</v>
      </c>
      <c r="BF68" s="76">
        <f t="shared" si="25"/>
        <v>0</v>
      </c>
      <c r="BG68" s="76">
        <f t="shared" si="26"/>
        <v>0</v>
      </c>
      <c r="BH68" s="76">
        <f t="shared" si="27"/>
        <v>0</v>
      </c>
      <c r="BI68" s="76">
        <f t="shared" si="28"/>
        <v>0</v>
      </c>
      <c r="BJ68" s="47" t="s">
        <v>63</v>
      </c>
      <c r="BK68" s="76">
        <f t="shared" si="29"/>
        <v>0</v>
      </c>
      <c r="BL68" s="47" t="s">
        <v>71</v>
      </c>
      <c r="BM68" s="75" t="s">
        <v>1024</v>
      </c>
    </row>
    <row r="69" spans="3:65" s="48" customFormat="1" ht="21.75" customHeight="1">
      <c r="C69" s="85" t="s">
        <v>290</v>
      </c>
      <c r="D69" s="85" t="s">
        <v>201</v>
      </c>
      <c r="E69" s="86" t="s">
        <v>1025</v>
      </c>
      <c r="F69" s="87" t="s">
        <v>1026</v>
      </c>
      <c r="G69" s="88" t="s">
        <v>260</v>
      </c>
      <c r="H69" s="89">
        <v>2</v>
      </c>
      <c r="I69" s="528"/>
      <c r="J69" s="90">
        <f t="shared" si="20"/>
        <v>0</v>
      </c>
      <c r="K69" s="522"/>
      <c r="L69" s="533" t="s">
        <v>2474</v>
      </c>
      <c r="M69" s="531" t="s">
        <v>854</v>
      </c>
      <c r="N69" s="78" t="s">
        <v>861</v>
      </c>
      <c r="O69" s="73">
        <v>0</v>
      </c>
      <c r="P69" s="73">
        <f t="shared" si="21"/>
        <v>0</v>
      </c>
      <c r="Q69" s="73">
        <v>0.0028</v>
      </c>
      <c r="R69" s="73">
        <f t="shared" si="22"/>
        <v>0.0056</v>
      </c>
      <c r="S69" s="73">
        <v>0</v>
      </c>
      <c r="T69" s="74">
        <f t="shared" si="23"/>
        <v>0</v>
      </c>
      <c r="AR69" s="75" t="s">
        <v>94</v>
      </c>
      <c r="AT69" s="75" t="s">
        <v>201</v>
      </c>
      <c r="AU69" s="75" t="s">
        <v>63</v>
      </c>
      <c r="AY69" s="47" t="s">
        <v>881</v>
      </c>
      <c r="BE69" s="76">
        <f t="shared" si="24"/>
        <v>0</v>
      </c>
      <c r="BF69" s="76">
        <f t="shared" si="25"/>
        <v>0</v>
      </c>
      <c r="BG69" s="76">
        <f t="shared" si="26"/>
        <v>0</v>
      </c>
      <c r="BH69" s="76">
        <f t="shared" si="27"/>
        <v>0</v>
      </c>
      <c r="BI69" s="76">
        <f t="shared" si="28"/>
        <v>0</v>
      </c>
      <c r="BJ69" s="47" t="s">
        <v>63</v>
      </c>
      <c r="BK69" s="76">
        <f t="shared" si="29"/>
        <v>0</v>
      </c>
      <c r="BL69" s="47" t="s">
        <v>71</v>
      </c>
      <c r="BM69" s="75" t="s">
        <v>1027</v>
      </c>
    </row>
    <row r="70" spans="3:65" s="48" customFormat="1" ht="21.75" customHeight="1">
      <c r="C70" s="85" t="s">
        <v>296</v>
      </c>
      <c r="D70" s="85" t="s">
        <v>201</v>
      </c>
      <c r="E70" s="86" t="s">
        <v>1028</v>
      </c>
      <c r="F70" s="87" t="s">
        <v>1029</v>
      </c>
      <c r="G70" s="88" t="s">
        <v>260</v>
      </c>
      <c r="H70" s="89">
        <v>1</v>
      </c>
      <c r="I70" s="528"/>
      <c r="J70" s="90">
        <f t="shared" si="20"/>
        <v>0</v>
      </c>
      <c r="K70" s="522"/>
      <c r="L70" s="533" t="s">
        <v>2474</v>
      </c>
      <c r="M70" s="531" t="s">
        <v>854</v>
      </c>
      <c r="N70" s="78" t="s">
        <v>861</v>
      </c>
      <c r="O70" s="73">
        <v>0</v>
      </c>
      <c r="P70" s="73">
        <f t="shared" si="21"/>
        <v>0</v>
      </c>
      <c r="Q70" s="73">
        <v>0.0039</v>
      </c>
      <c r="R70" s="73">
        <f t="shared" si="22"/>
        <v>0.0039</v>
      </c>
      <c r="S70" s="73">
        <v>0</v>
      </c>
      <c r="T70" s="74">
        <f t="shared" si="23"/>
        <v>0</v>
      </c>
      <c r="AR70" s="75" t="s">
        <v>94</v>
      </c>
      <c r="AT70" s="75" t="s">
        <v>201</v>
      </c>
      <c r="AU70" s="75" t="s">
        <v>63</v>
      </c>
      <c r="AY70" s="47" t="s">
        <v>881</v>
      </c>
      <c r="BE70" s="76">
        <f t="shared" si="24"/>
        <v>0</v>
      </c>
      <c r="BF70" s="76">
        <f t="shared" si="25"/>
        <v>0</v>
      </c>
      <c r="BG70" s="76">
        <f t="shared" si="26"/>
        <v>0</v>
      </c>
      <c r="BH70" s="76">
        <f t="shared" si="27"/>
        <v>0</v>
      </c>
      <c r="BI70" s="76">
        <f t="shared" si="28"/>
        <v>0</v>
      </c>
      <c r="BJ70" s="47" t="s">
        <v>63</v>
      </c>
      <c r="BK70" s="76">
        <f t="shared" si="29"/>
        <v>0</v>
      </c>
      <c r="BL70" s="47" t="s">
        <v>71</v>
      </c>
      <c r="BM70" s="75" t="s">
        <v>1030</v>
      </c>
    </row>
    <row r="71" spans="3:65" s="48" customFormat="1" ht="24.15" customHeight="1">
      <c r="C71" s="85" t="s">
        <v>305</v>
      </c>
      <c r="D71" s="85" t="s">
        <v>201</v>
      </c>
      <c r="E71" s="86" t="s">
        <v>1031</v>
      </c>
      <c r="F71" s="87" t="s">
        <v>1032</v>
      </c>
      <c r="G71" s="88" t="s">
        <v>260</v>
      </c>
      <c r="H71" s="89">
        <v>10</v>
      </c>
      <c r="I71" s="528"/>
      <c r="J71" s="90">
        <f t="shared" si="20"/>
        <v>0</v>
      </c>
      <c r="K71" s="522"/>
      <c r="L71" s="533" t="s">
        <v>2474</v>
      </c>
      <c r="M71" s="531" t="s">
        <v>854</v>
      </c>
      <c r="N71" s="78" t="s">
        <v>861</v>
      </c>
      <c r="O71" s="73">
        <v>0</v>
      </c>
      <c r="P71" s="73">
        <f t="shared" si="21"/>
        <v>0</v>
      </c>
      <c r="Q71" s="73">
        <v>0.0132</v>
      </c>
      <c r="R71" s="73">
        <f t="shared" si="22"/>
        <v>0.132</v>
      </c>
      <c r="S71" s="73">
        <v>0</v>
      </c>
      <c r="T71" s="74">
        <f t="shared" si="23"/>
        <v>0</v>
      </c>
      <c r="AR71" s="75" t="s">
        <v>94</v>
      </c>
      <c r="AT71" s="75" t="s">
        <v>201</v>
      </c>
      <c r="AU71" s="75" t="s">
        <v>63</v>
      </c>
      <c r="AY71" s="47" t="s">
        <v>881</v>
      </c>
      <c r="BE71" s="76">
        <f t="shared" si="24"/>
        <v>0</v>
      </c>
      <c r="BF71" s="76">
        <f t="shared" si="25"/>
        <v>0</v>
      </c>
      <c r="BG71" s="76">
        <f t="shared" si="26"/>
        <v>0</v>
      </c>
      <c r="BH71" s="76">
        <f t="shared" si="27"/>
        <v>0</v>
      </c>
      <c r="BI71" s="76">
        <f t="shared" si="28"/>
        <v>0</v>
      </c>
      <c r="BJ71" s="47" t="s">
        <v>63</v>
      </c>
      <c r="BK71" s="76">
        <f t="shared" si="29"/>
        <v>0</v>
      </c>
      <c r="BL71" s="47" t="s">
        <v>71</v>
      </c>
      <c r="BM71" s="75" t="s">
        <v>1033</v>
      </c>
    </row>
    <row r="72" spans="3:65" s="48" customFormat="1" ht="24.15" customHeight="1">
      <c r="C72" s="85" t="s">
        <v>232</v>
      </c>
      <c r="D72" s="85" t="s">
        <v>201</v>
      </c>
      <c r="E72" s="86" t="s">
        <v>1034</v>
      </c>
      <c r="F72" s="87" t="s">
        <v>1035</v>
      </c>
      <c r="G72" s="88" t="s">
        <v>260</v>
      </c>
      <c r="H72" s="89">
        <v>4</v>
      </c>
      <c r="I72" s="528"/>
      <c r="J72" s="90">
        <f t="shared" si="20"/>
        <v>0</v>
      </c>
      <c r="K72" s="522"/>
      <c r="L72" s="533" t="s">
        <v>2474</v>
      </c>
      <c r="M72" s="531" t="s">
        <v>854</v>
      </c>
      <c r="N72" s="78" t="s">
        <v>861</v>
      </c>
      <c r="O72" s="73">
        <v>0</v>
      </c>
      <c r="P72" s="73">
        <f t="shared" si="21"/>
        <v>0</v>
      </c>
      <c r="Q72" s="73">
        <v>0.0198</v>
      </c>
      <c r="R72" s="73">
        <f t="shared" si="22"/>
        <v>0.0792</v>
      </c>
      <c r="S72" s="73">
        <v>0</v>
      </c>
      <c r="T72" s="74">
        <f t="shared" si="23"/>
        <v>0</v>
      </c>
      <c r="AR72" s="75" t="s">
        <v>94</v>
      </c>
      <c r="AT72" s="75" t="s">
        <v>201</v>
      </c>
      <c r="AU72" s="75" t="s">
        <v>63</v>
      </c>
      <c r="AY72" s="47" t="s">
        <v>881</v>
      </c>
      <c r="BE72" s="76">
        <f t="shared" si="24"/>
        <v>0</v>
      </c>
      <c r="BF72" s="76">
        <f t="shared" si="25"/>
        <v>0</v>
      </c>
      <c r="BG72" s="76">
        <f t="shared" si="26"/>
        <v>0</v>
      </c>
      <c r="BH72" s="76">
        <f t="shared" si="27"/>
        <v>0</v>
      </c>
      <c r="BI72" s="76">
        <f t="shared" si="28"/>
        <v>0</v>
      </c>
      <c r="BJ72" s="47" t="s">
        <v>63</v>
      </c>
      <c r="BK72" s="76">
        <f t="shared" si="29"/>
        <v>0</v>
      </c>
      <c r="BL72" s="47" t="s">
        <v>71</v>
      </c>
      <c r="BM72" s="75" t="s">
        <v>1036</v>
      </c>
    </row>
    <row r="73" spans="3:65" s="48" customFormat="1" ht="24.15" customHeight="1">
      <c r="C73" s="85" t="s">
        <v>315</v>
      </c>
      <c r="D73" s="85" t="s">
        <v>201</v>
      </c>
      <c r="E73" s="86" t="s">
        <v>1037</v>
      </c>
      <c r="F73" s="87" t="s">
        <v>1038</v>
      </c>
      <c r="G73" s="88" t="s">
        <v>260</v>
      </c>
      <c r="H73" s="89">
        <v>1</v>
      </c>
      <c r="I73" s="528"/>
      <c r="J73" s="90">
        <f t="shared" si="20"/>
        <v>0</v>
      </c>
      <c r="K73" s="522"/>
      <c r="L73" s="533" t="s">
        <v>2474</v>
      </c>
      <c r="M73" s="531" t="s">
        <v>854</v>
      </c>
      <c r="N73" s="78" t="s">
        <v>861</v>
      </c>
      <c r="O73" s="73">
        <v>0</v>
      </c>
      <c r="P73" s="73">
        <f t="shared" si="21"/>
        <v>0</v>
      </c>
      <c r="Q73" s="73">
        <v>0.0276</v>
      </c>
      <c r="R73" s="73">
        <f t="shared" si="22"/>
        <v>0.0276</v>
      </c>
      <c r="S73" s="73">
        <v>0</v>
      </c>
      <c r="T73" s="74">
        <f t="shared" si="23"/>
        <v>0</v>
      </c>
      <c r="AR73" s="75" t="s">
        <v>94</v>
      </c>
      <c r="AT73" s="75" t="s">
        <v>201</v>
      </c>
      <c r="AU73" s="75" t="s">
        <v>63</v>
      </c>
      <c r="AY73" s="47" t="s">
        <v>881</v>
      </c>
      <c r="BE73" s="76">
        <f t="shared" si="24"/>
        <v>0</v>
      </c>
      <c r="BF73" s="76">
        <f t="shared" si="25"/>
        <v>0</v>
      </c>
      <c r="BG73" s="76">
        <f t="shared" si="26"/>
        <v>0</v>
      </c>
      <c r="BH73" s="76">
        <f t="shared" si="27"/>
        <v>0</v>
      </c>
      <c r="BI73" s="76">
        <f t="shared" si="28"/>
        <v>0</v>
      </c>
      <c r="BJ73" s="47" t="s">
        <v>63</v>
      </c>
      <c r="BK73" s="76">
        <f t="shared" si="29"/>
        <v>0</v>
      </c>
      <c r="BL73" s="47" t="s">
        <v>71</v>
      </c>
      <c r="BM73" s="75" t="s">
        <v>1039</v>
      </c>
    </row>
    <row r="74" spans="3:65" s="48" customFormat="1" ht="24.15" customHeight="1">
      <c r="C74" s="85" t="s">
        <v>319</v>
      </c>
      <c r="D74" s="85" t="s">
        <v>201</v>
      </c>
      <c r="E74" s="86" t="s">
        <v>1040</v>
      </c>
      <c r="F74" s="87" t="s">
        <v>1041</v>
      </c>
      <c r="G74" s="88" t="s">
        <v>260</v>
      </c>
      <c r="H74" s="89">
        <v>4</v>
      </c>
      <c r="I74" s="528"/>
      <c r="J74" s="90">
        <f t="shared" si="20"/>
        <v>0</v>
      </c>
      <c r="K74" s="522"/>
      <c r="L74" s="533" t="s">
        <v>2130</v>
      </c>
      <c r="M74" s="531" t="s">
        <v>854</v>
      </c>
      <c r="N74" s="78" t="s">
        <v>861</v>
      </c>
      <c r="O74" s="73">
        <v>0</v>
      </c>
      <c r="P74" s="73">
        <f t="shared" si="21"/>
        <v>0</v>
      </c>
      <c r="Q74" s="73">
        <v>0.0169</v>
      </c>
      <c r="R74" s="73">
        <f t="shared" si="22"/>
        <v>0.0676</v>
      </c>
      <c r="S74" s="73">
        <v>0</v>
      </c>
      <c r="T74" s="74">
        <f t="shared" si="23"/>
        <v>0</v>
      </c>
      <c r="AR74" s="75" t="s">
        <v>94</v>
      </c>
      <c r="AT74" s="75" t="s">
        <v>201</v>
      </c>
      <c r="AU74" s="75" t="s">
        <v>63</v>
      </c>
      <c r="AY74" s="47" t="s">
        <v>881</v>
      </c>
      <c r="BE74" s="76">
        <f t="shared" si="24"/>
        <v>0</v>
      </c>
      <c r="BF74" s="76">
        <f t="shared" si="25"/>
        <v>0</v>
      </c>
      <c r="BG74" s="76">
        <f t="shared" si="26"/>
        <v>0</v>
      </c>
      <c r="BH74" s="76">
        <f t="shared" si="27"/>
        <v>0</v>
      </c>
      <c r="BI74" s="76">
        <f t="shared" si="28"/>
        <v>0</v>
      </c>
      <c r="BJ74" s="47" t="s">
        <v>63</v>
      </c>
      <c r="BK74" s="76">
        <f t="shared" si="29"/>
        <v>0</v>
      </c>
      <c r="BL74" s="47" t="s">
        <v>71</v>
      </c>
      <c r="BM74" s="75" t="s">
        <v>1042</v>
      </c>
    </row>
    <row r="75" spans="3:65" s="48" customFormat="1" ht="24.15" customHeight="1">
      <c r="C75" s="85" t="s">
        <v>322</v>
      </c>
      <c r="D75" s="85" t="s">
        <v>201</v>
      </c>
      <c r="E75" s="86" t="s">
        <v>1043</v>
      </c>
      <c r="F75" s="87" t="s">
        <v>1044</v>
      </c>
      <c r="G75" s="88" t="s">
        <v>260</v>
      </c>
      <c r="H75" s="89">
        <v>4</v>
      </c>
      <c r="I75" s="528"/>
      <c r="J75" s="90">
        <f t="shared" si="20"/>
        <v>0</v>
      </c>
      <c r="K75" s="522"/>
      <c r="L75" s="533" t="s">
        <v>2474</v>
      </c>
      <c r="M75" s="531" t="s">
        <v>854</v>
      </c>
      <c r="N75" s="78" t="s">
        <v>861</v>
      </c>
      <c r="O75" s="73">
        <v>0</v>
      </c>
      <c r="P75" s="73">
        <f t="shared" si="21"/>
        <v>0</v>
      </c>
      <c r="Q75" s="73">
        <v>0.0284</v>
      </c>
      <c r="R75" s="73">
        <f t="shared" si="22"/>
        <v>0.1136</v>
      </c>
      <c r="S75" s="73">
        <v>0</v>
      </c>
      <c r="T75" s="74">
        <f t="shared" si="23"/>
        <v>0</v>
      </c>
      <c r="AR75" s="75" t="s">
        <v>94</v>
      </c>
      <c r="AT75" s="75" t="s">
        <v>201</v>
      </c>
      <c r="AU75" s="75" t="s">
        <v>63</v>
      </c>
      <c r="AY75" s="47" t="s">
        <v>881</v>
      </c>
      <c r="BE75" s="76">
        <f t="shared" si="24"/>
        <v>0</v>
      </c>
      <c r="BF75" s="76">
        <f t="shared" si="25"/>
        <v>0</v>
      </c>
      <c r="BG75" s="76">
        <f t="shared" si="26"/>
        <v>0</v>
      </c>
      <c r="BH75" s="76">
        <f t="shared" si="27"/>
        <v>0</v>
      </c>
      <c r="BI75" s="76">
        <f t="shared" si="28"/>
        <v>0</v>
      </c>
      <c r="BJ75" s="47" t="s">
        <v>63</v>
      </c>
      <c r="BK75" s="76">
        <f t="shared" si="29"/>
        <v>0</v>
      </c>
      <c r="BL75" s="47" t="s">
        <v>71</v>
      </c>
      <c r="BM75" s="75" t="s">
        <v>1045</v>
      </c>
    </row>
    <row r="76" spans="3:65" s="48" customFormat="1" ht="24.15" customHeight="1">
      <c r="C76" s="79" t="s">
        <v>325</v>
      </c>
      <c r="D76" s="79" t="s">
        <v>883</v>
      </c>
      <c r="E76" s="80" t="s">
        <v>1046</v>
      </c>
      <c r="F76" s="81" t="s">
        <v>1047</v>
      </c>
      <c r="G76" s="82" t="s">
        <v>260</v>
      </c>
      <c r="H76" s="83">
        <v>17</v>
      </c>
      <c r="I76" s="527"/>
      <c r="J76" s="84">
        <f t="shared" si="20"/>
        <v>0</v>
      </c>
      <c r="K76" s="521"/>
      <c r="L76" s="533" t="s">
        <v>2474</v>
      </c>
      <c r="M76" s="530" t="s">
        <v>854</v>
      </c>
      <c r="N76" s="72" t="s">
        <v>861</v>
      </c>
      <c r="O76" s="73">
        <v>0.856</v>
      </c>
      <c r="P76" s="73">
        <f t="shared" si="21"/>
        <v>14.552</v>
      </c>
      <c r="Q76" s="73">
        <v>0.00167</v>
      </c>
      <c r="R76" s="73">
        <f t="shared" si="22"/>
        <v>0.028390000000000002</v>
      </c>
      <c r="S76" s="73">
        <v>0</v>
      </c>
      <c r="T76" s="74">
        <f t="shared" si="23"/>
        <v>0</v>
      </c>
      <c r="AR76" s="75" t="s">
        <v>71</v>
      </c>
      <c r="AT76" s="75" t="s">
        <v>883</v>
      </c>
      <c r="AU76" s="75" t="s">
        <v>63</v>
      </c>
      <c r="AY76" s="47" t="s">
        <v>881</v>
      </c>
      <c r="BE76" s="76">
        <f t="shared" si="24"/>
        <v>0</v>
      </c>
      <c r="BF76" s="76">
        <f t="shared" si="25"/>
        <v>0</v>
      </c>
      <c r="BG76" s="76">
        <f t="shared" si="26"/>
        <v>0</v>
      </c>
      <c r="BH76" s="76">
        <f t="shared" si="27"/>
        <v>0</v>
      </c>
      <c r="BI76" s="76">
        <f t="shared" si="28"/>
        <v>0</v>
      </c>
      <c r="BJ76" s="47" t="s">
        <v>63</v>
      </c>
      <c r="BK76" s="76">
        <f t="shared" si="29"/>
        <v>0</v>
      </c>
      <c r="BL76" s="47" t="s">
        <v>71</v>
      </c>
      <c r="BM76" s="75" t="s">
        <v>1048</v>
      </c>
    </row>
    <row r="77" spans="3:65" s="48" customFormat="1" ht="24.15" customHeight="1">
      <c r="C77" s="79" t="s">
        <v>328</v>
      </c>
      <c r="D77" s="79" t="s">
        <v>883</v>
      </c>
      <c r="E77" s="80" t="s">
        <v>1049</v>
      </c>
      <c r="F77" s="81" t="s">
        <v>1050</v>
      </c>
      <c r="G77" s="82" t="s">
        <v>260</v>
      </c>
      <c r="H77" s="83">
        <v>10</v>
      </c>
      <c r="I77" s="527"/>
      <c r="J77" s="84">
        <f t="shared" si="20"/>
        <v>0</v>
      </c>
      <c r="K77" s="521"/>
      <c r="L77" s="533" t="s">
        <v>2474</v>
      </c>
      <c r="M77" s="530" t="s">
        <v>854</v>
      </c>
      <c r="N77" s="72" t="s">
        <v>861</v>
      </c>
      <c r="O77" s="73">
        <v>2.063</v>
      </c>
      <c r="P77" s="73">
        <f t="shared" si="21"/>
        <v>20.630000000000003</v>
      </c>
      <c r="Q77" s="73">
        <v>0</v>
      </c>
      <c r="R77" s="73">
        <f t="shared" si="22"/>
        <v>0</v>
      </c>
      <c r="S77" s="73">
        <v>0</v>
      </c>
      <c r="T77" s="74">
        <f t="shared" si="23"/>
        <v>0</v>
      </c>
      <c r="AR77" s="75" t="s">
        <v>71</v>
      </c>
      <c r="AT77" s="75" t="s">
        <v>883</v>
      </c>
      <c r="AU77" s="75" t="s">
        <v>63</v>
      </c>
      <c r="AY77" s="47" t="s">
        <v>881</v>
      </c>
      <c r="BE77" s="76">
        <f t="shared" si="24"/>
        <v>0</v>
      </c>
      <c r="BF77" s="76">
        <f t="shared" si="25"/>
        <v>0</v>
      </c>
      <c r="BG77" s="76">
        <f t="shared" si="26"/>
        <v>0</v>
      </c>
      <c r="BH77" s="76">
        <f t="shared" si="27"/>
        <v>0</v>
      </c>
      <c r="BI77" s="76">
        <f t="shared" si="28"/>
        <v>0</v>
      </c>
      <c r="BJ77" s="47" t="s">
        <v>63</v>
      </c>
      <c r="BK77" s="76">
        <f t="shared" si="29"/>
        <v>0</v>
      </c>
      <c r="BL77" s="47" t="s">
        <v>71</v>
      </c>
      <c r="BM77" s="75" t="s">
        <v>1051</v>
      </c>
    </row>
    <row r="78" spans="3:65" s="48" customFormat="1" ht="16.5" customHeight="1">
      <c r="C78" s="85" t="s">
        <v>132</v>
      </c>
      <c r="D78" s="85" t="s">
        <v>201</v>
      </c>
      <c r="E78" s="86" t="s">
        <v>1052</v>
      </c>
      <c r="F78" s="87" t="s">
        <v>1053</v>
      </c>
      <c r="G78" s="88" t="s">
        <v>260</v>
      </c>
      <c r="H78" s="89">
        <v>3</v>
      </c>
      <c r="I78" s="528"/>
      <c r="J78" s="90">
        <f t="shared" si="20"/>
        <v>0</v>
      </c>
      <c r="K78" s="522"/>
      <c r="L78" s="533" t="s">
        <v>2130</v>
      </c>
      <c r="M78" s="531" t="s">
        <v>854</v>
      </c>
      <c r="N78" s="78" t="s">
        <v>861</v>
      </c>
      <c r="O78" s="73">
        <v>0</v>
      </c>
      <c r="P78" s="73">
        <f t="shared" si="21"/>
        <v>0</v>
      </c>
      <c r="Q78" s="73">
        <v>0.0092</v>
      </c>
      <c r="R78" s="73">
        <f t="shared" si="22"/>
        <v>0.0276</v>
      </c>
      <c r="S78" s="73">
        <v>0</v>
      </c>
      <c r="T78" s="74">
        <f t="shared" si="23"/>
        <v>0</v>
      </c>
      <c r="AR78" s="75" t="s">
        <v>94</v>
      </c>
      <c r="AT78" s="75" t="s">
        <v>201</v>
      </c>
      <c r="AU78" s="75" t="s">
        <v>63</v>
      </c>
      <c r="AY78" s="47" t="s">
        <v>881</v>
      </c>
      <c r="BE78" s="76">
        <f t="shared" si="24"/>
        <v>0</v>
      </c>
      <c r="BF78" s="76">
        <f t="shared" si="25"/>
        <v>0</v>
      </c>
      <c r="BG78" s="76">
        <f t="shared" si="26"/>
        <v>0</v>
      </c>
      <c r="BH78" s="76">
        <f t="shared" si="27"/>
        <v>0</v>
      </c>
      <c r="BI78" s="76">
        <f t="shared" si="28"/>
        <v>0</v>
      </c>
      <c r="BJ78" s="47" t="s">
        <v>63</v>
      </c>
      <c r="BK78" s="76">
        <f t="shared" si="29"/>
        <v>0</v>
      </c>
      <c r="BL78" s="47" t="s">
        <v>71</v>
      </c>
      <c r="BM78" s="75" t="s">
        <v>1054</v>
      </c>
    </row>
    <row r="79" spans="3:65" s="48" customFormat="1" ht="16.5" customHeight="1">
      <c r="C79" s="85" t="s">
        <v>175</v>
      </c>
      <c r="D79" s="85" t="s">
        <v>201</v>
      </c>
      <c r="E79" s="86" t="s">
        <v>1055</v>
      </c>
      <c r="F79" s="87" t="s">
        <v>1056</v>
      </c>
      <c r="G79" s="88" t="s">
        <v>260</v>
      </c>
      <c r="H79" s="89">
        <v>2</v>
      </c>
      <c r="I79" s="528"/>
      <c r="J79" s="90">
        <f t="shared" si="20"/>
        <v>0</v>
      </c>
      <c r="K79" s="522"/>
      <c r="L79" s="533" t="s">
        <v>2130</v>
      </c>
      <c r="M79" s="531" t="s">
        <v>854</v>
      </c>
      <c r="N79" s="78" t="s">
        <v>861</v>
      </c>
      <c r="O79" s="73">
        <v>0</v>
      </c>
      <c r="P79" s="73">
        <f t="shared" si="21"/>
        <v>0</v>
      </c>
      <c r="Q79" s="73">
        <v>0.0174</v>
      </c>
      <c r="R79" s="73">
        <f t="shared" si="22"/>
        <v>0.0348</v>
      </c>
      <c r="S79" s="73">
        <v>0</v>
      </c>
      <c r="T79" s="74">
        <f t="shared" si="23"/>
        <v>0</v>
      </c>
      <c r="AR79" s="75" t="s">
        <v>94</v>
      </c>
      <c r="AT79" s="75" t="s">
        <v>201</v>
      </c>
      <c r="AU79" s="75" t="s">
        <v>63</v>
      </c>
      <c r="AY79" s="47" t="s">
        <v>881</v>
      </c>
      <c r="BE79" s="76">
        <f t="shared" si="24"/>
        <v>0</v>
      </c>
      <c r="BF79" s="76">
        <f t="shared" si="25"/>
        <v>0</v>
      </c>
      <c r="BG79" s="76">
        <f t="shared" si="26"/>
        <v>0</v>
      </c>
      <c r="BH79" s="76">
        <f t="shared" si="27"/>
        <v>0</v>
      </c>
      <c r="BI79" s="76">
        <f t="shared" si="28"/>
        <v>0</v>
      </c>
      <c r="BJ79" s="47" t="s">
        <v>63</v>
      </c>
      <c r="BK79" s="76">
        <f t="shared" si="29"/>
        <v>0</v>
      </c>
      <c r="BL79" s="47" t="s">
        <v>71</v>
      </c>
      <c r="BM79" s="75" t="s">
        <v>1057</v>
      </c>
    </row>
    <row r="80" spans="3:65" s="48" customFormat="1" ht="24.15" customHeight="1">
      <c r="C80" s="79" t="s">
        <v>341</v>
      </c>
      <c r="D80" s="79" t="s">
        <v>883</v>
      </c>
      <c r="E80" s="80" t="s">
        <v>1058</v>
      </c>
      <c r="F80" s="81" t="s">
        <v>1059</v>
      </c>
      <c r="G80" s="82" t="s">
        <v>260</v>
      </c>
      <c r="H80" s="83">
        <v>4</v>
      </c>
      <c r="I80" s="527"/>
      <c r="J80" s="84">
        <f t="shared" si="20"/>
        <v>0</v>
      </c>
      <c r="K80" s="521"/>
      <c r="L80" s="533" t="s">
        <v>2474</v>
      </c>
      <c r="M80" s="530" t="s">
        <v>854</v>
      </c>
      <c r="N80" s="72" t="s">
        <v>861</v>
      </c>
      <c r="O80" s="73">
        <v>1.24</v>
      </c>
      <c r="P80" s="73">
        <f t="shared" si="21"/>
        <v>4.96</v>
      </c>
      <c r="Q80" s="73">
        <v>0.00171</v>
      </c>
      <c r="R80" s="73">
        <f t="shared" si="22"/>
        <v>0.00684</v>
      </c>
      <c r="S80" s="73">
        <v>0</v>
      </c>
      <c r="T80" s="74">
        <f t="shared" si="23"/>
        <v>0</v>
      </c>
      <c r="AR80" s="75" t="s">
        <v>71</v>
      </c>
      <c r="AT80" s="75" t="s">
        <v>883</v>
      </c>
      <c r="AU80" s="75" t="s">
        <v>63</v>
      </c>
      <c r="AY80" s="47" t="s">
        <v>881</v>
      </c>
      <c r="BE80" s="76">
        <f t="shared" si="24"/>
        <v>0</v>
      </c>
      <c r="BF80" s="76">
        <f t="shared" si="25"/>
        <v>0</v>
      </c>
      <c r="BG80" s="76">
        <f t="shared" si="26"/>
        <v>0</v>
      </c>
      <c r="BH80" s="76">
        <f t="shared" si="27"/>
        <v>0</v>
      </c>
      <c r="BI80" s="76">
        <f t="shared" si="28"/>
        <v>0</v>
      </c>
      <c r="BJ80" s="47" t="s">
        <v>63</v>
      </c>
      <c r="BK80" s="76">
        <f t="shared" si="29"/>
        <v>0</v>
      </c>
      <c r="BL80" s="47" t="s">
        <v>71</v>
      </c>
      <c r="BM80" s="75" t="s">
        <v>1060</v>
      </c>
    </row>
    <row r="81" spans="3:65" s="48" customFormat="1" ht="24.15" customHeight="1">
      <c r="C81" s="79" t="s">
        <v>185</v>
      </c>
      <c r="D81" s="79" t="s">
        <v>883</v>
      </c>
      <c r="E81" s="80" t="s">
        <v>1061</v>
      </c>
      <c r="F81" s="81" t="s">
        <v>1062</v>
      </c>
      <c r="G81" s="82" t="s">
        <v>260</v>
      </c>
      <c r="H81" s="83">
        <v>8</v>
      </c>
      <c r="I81" s="527"/>
      <c r="J81" s="84">
        <f t="shared" si="20"/>
        <v>0</v>
      </c>
      <c r="K81" s="521"/>
      <c r="L81" s="533" t="s">
        <v>2474</v>
      </c>
      <c r="M81" s="530" t="s">
        <v>854</v>
      </c>
      <c r="N81" s="72" t="s">
        <v>861</v>
      </c>
      <c r="O81" s="73">
        <v>1.981</v>
      </c>
      <c r="P81" s="73">
        <f t="shared" si="21"/>
        <v>15.848</v>
      </c>
      <c r="Q81" s="73">
        <v>0</v>
      </c>
      <c r="R81" s="73">
        <f t="shared" si="22"/>
        <v>0</v>
      </c>
      <c r="S81" s="73">
        <v>0</v>
      </c>
      <c r="T81" s="74">
        <f t="shared" si="23"/>
        <v>0</v>
      </c>
      <c r="AR81" s="75" t="s">
        <v>71</v>
      </c>
      <c r="AT81" s="75" t="s">
        <v>883</v>
      </c>
      <c r="AU81" s="75" t="s">
        <v>63</v>
      </c>
      <c r="AY81" s="47" t="s">
        <v>881</v>
      </c>
      <c r="BE81" s="76">
        <f t="shared" si="24"/>
        <v>0</v>
      </c>
      <c r="BF81" s="76">
        <f t="shared" si="25"/>
        <v>0</v>
      </c>
      <c r="BG81" s="76">
        <f t="shared" si="26"/>
        <v>0</v>
      </c>
      <c r="BH81" s="76">
        <f t="shared" si="27"/>
        <v>0</v>
      </c>
      <c r="BI81" s="76">
        <f t="shared" si="28"/>
        <v>0</v>
      </c>
      <c r="BJ81" s="47" t="s">
        <v>63</v>
      </c>
      <c r="BK81" s="76">
        <f t="shared" si="29"/>
        <v>0</v>
      </c>
      <c r="BL81" s="47" t="s">
        <v>71</v>
      </c>
      <c r="BM81" s="75" t="s">
        <v>1063</v>
      </c>
    </row>
    <row r="82" spans="3:65" s="48" customFormat="1" ht="24.15" customHeight="1">
      <c r="C82" s="79" t="s">
        <v>348</v>
      </c>
      <c r="D82" s="79" t="s">
        <v>883</v>
      </c>
      <c r="E82" s="80" t="s">
        <v>1064</v>
      </c>
      <c r="F82" s="81" t="s">
        <v>1065</v>
      </c>
      <c r="G82" s="82" t="s">
        <v>260</v>
      </c>
      <c r="H82" s="83">
        <v>5</v>
      </c>
      <c r="I82" s="527"/>
      <c r="J82" s="84">
        <f t="shared" si="20"/>
        <v>0</v>
      </c>
      <c r="K82" s="521"/>
      <c r="L82" s="533" t="s">
        <v>2474</v>
      </c>
      <c r="M82" s="530" t="s">
        <v>854</v>
      </c>
      <c r="N82" s="72" t="s">
        <v>861</v>
      </c>
      <c r="O82" s="73">
        <v>1.007</v>
      </c>
      <c r="P82" s="73">
        <f t="shared" si="21"/>
        <v>5.034999999999999</v>
      </c>
      <c r="Q82" s="73">
        <v>0.00296</v>
      </c>
      <c r="R82" s="73">
        <f t="shared" si="22"/>
        <v>0.0148</v>
      </c>
      <c r="S82" s="73">
        <v>0</v>
      </c>
      <c r="T82" s="74">
        <f t="shared" si="23"/>
        <v>0</v>
      </c>
      <c r="AR82" s="75" t="s">
        <v>71</v>
      </c>
      <c r="AT82" s="75" t="s">
        <v>883</v>
      </c>
      <c r="AU82" s="75" t="s">
        <v>63</v>
      </c>
      <c r="AY82" s="47" t="s">
        <v>881</v>
      </c>
      <c r="BE82" s="76">
        <f t="shared" si="24"/>
        <v>0</v>
      </c>
      <c r="BF82" s="76">
        <f t="shared" si="25"/>
        <v>0</v>
      </c>
      <c r="BG82" s="76">
        <f t="shared" si="26"/>
        <v>0</v>
      </c>
      <c r="BH82" s="76">
        <f t="shared" si="27"/>
        <v>0</v>
      </c>
      <c r="BI82" s="76">
        <f t="shared" si="28"/>
        <v>0</v>
      </c>
      <c r="BJ82" s="47" t="s">
        <v>63</v>
      </c>
      <c r="BK82" s="76">
        <f t="shared" si="29"/>
        <v>0</v>
      </c>
      <c r="BL82" s="47" t="s">
        <v>71</v>
      </c>
      <c r="BM82" s="75" t="s">
        <v>1066</v>
      </c>
    </row>
    <row r="83" spans="3:65" s="48" customFormat="1" ht="24.15" customHeight="1">
      <c r="C83" s="79" t="s">
        <v>352</v>
      </c>
      <c r="D83" s="79" t="s">
        <v>883</v>
      </c>
      <c r="E83" s="80" t="s">
        <v>1067</v>
      </c>
      <c r="F83" s="81" t="s">
        <v>1068</v>
      </c>
      <c r="G83" s="82" t="s">
        <v>260</v>
      </c>
      <c r="H83" s="83">
        <v>5</v>
      </c>
      <c r="I83" s="527"/>
      <c r="J83" s="84">
        <f t="shared" si="20"/>
        <v>0</v>
      </c>
      <c r="K83" s="521"/>
      <c r="L83" s="533" t="s">
        <v>2474</v>
      </c>
      <c r="M83" s="530" t="s">
        <v>854</v>
      </c>
      <c r="N83" s="72" t="s">
        <v>861</v>
      </c>
      <c r="O83" s="73">
        <v>1.391</v>
      </c>
      <c r="P83" s="73">
        <f t="shared" si="21"/>
        <v>6.955</v>
      </c>
      <c r="Q83" s="73">
        <v>0.0038</v>
      </c>
      <c r="R83" s="73">
        <f t="shared" si="22"/>
        <v>0.019</v>
      </c>
      <c r="S83" s="73">
        <v>0</v>
      </c>
      <c r="T83" s="74">
        <f t="shared" si="23"/>
        <v>0</v>
      </c>
      <c r="AR83" s="75" t="s">
        <v>71</v>
      </c>
      <c r="AT83" s="75" t="s">
        <v>883</v>
      </c>
      <c r="AU83" s="75" t="s">
        <v>63</v>
      </c>
      <c r="AY83" s="47" t="s">
        <v>881</v>
      </c>
      <c r="BE83" s="76">
        <f t="shared" si="24"/>
        <v>0</v>
      </c>
      <c r="BF83" s="76">
        <f t="shared" si="25"/>
        <v>0</v>
      </c>
      <c r="BG83" s="76">
        <f t="shared" si="26"/>
        <v>0</v>
      </c>
      <c r="BH83" s="76">
        <f t="shared" si="27"/>
        <v>0</v>
      </c>
      <c r="BI83" s="76">
        <f t="shared" si="28"/>
        <v>0</v>
      </c>
      <c r="BJ83" s="47" t="s">
        <v>63</v>
      </c>
      <c r="BK83" s="76">
        <f t="shared" si="29"/>
        <v>0</v>
      </c>
      <c r="BL83" s="47" t="s">
        <v>71</v>
      </c>
      <c r="BM83" s="75" t="s">
        <v>1069</v>
      </c>
    </row>
    <row r="84" spans="3:65" s="48" customFormat="1" ht="21.75" customHeight="1">
      <c r="C84" s="79" t="s">
        <v>356</v>
      </c>
      <c r="D84" s="79" t="s">
        <v>883</v>
      </c>
      <c r="E84" s="80" t="s">
        <v>1070</v>
      </c>
      <c r="F84" s="81" t="s">
        <v>1071</v>
      </c>
      <c r="G84" s="82" t="s">
        <v>260</v>
      </c>
      <c r="H84" s="83">
        <v>1</v>
      </c>
      <c r="I84" s="527"/>
      <c r="J84" s="84">
        <f t="shared" si="20"/>
        <v>0</v>
      </c>
      <c r="K84" s="521"/>
      <c r="L84" s="533" t="s">
        <v>2474</v>
      </c>
      <c r="M84" s="530" t="s">
        <v>854</v>
      </c>
      <c r="N84" s="72" t="s">
        <v>861</v>
      </c>
      <c r="O84" s="73">
        <v>1.554</v>
      </c>
      <c r="P84" s="73">
        <f t="shared" si="21"/>
        <v>1.554</v>
      </c>
      <c r="Q84" s="73">
        <v>0.00162</v>
      </c>
      <c r="R84" s="73">
        <f t="shared" si="22"/>
        <v>0.00162</v>
      </c>
      <c r="S84" s="73">
        <v>0</v>
      </c>
      <c r="T84" s="74">
        <f t="shared" si="23"/>
        <v>0</v>
      </c>
      <c r="AR84" s="75" t="s">
        <v>71</v>
      </c>
      <c r="AT84" s="75" t="s">
        <v>883</v>
      </c>
      <c r="AU84" s="75" t="s">
        <v>63</v>
      </c>
      <c r="AY84" s="47" t="s">
        <v>881</v>
      </c>
      <c r="BE84" s="76">
        <f t="shared" si="24"/>
        <v>0</v>
      </c>
      <c r="BF84" s="76">
        <f t="shared" si="25"/>
        <v>0</v>
      </c>
      <c r="BG84" s="76">
        <f t="shared" si="26"/>
        <v>0</v>
      </c>
      <c r="BH84" s="76">
        <f t="shared" si="27"/>
        <v>0</v>
      </c>
      <c r="BI84" s="76">
        <f t="shared" si="28"/>
        <v>0</v>
      </c>
      <c r="BJ84" s="47" t="s">
        <v>63</v>
      </c>
      <c r="BK84" s="76">
        <f t="shared" si="29"/>
        <v>0</v>
      </c>
      <c r="BL84" s="47" t="s">
        <v>71</v>
      </c>
      <c r="BM84" s="75" t="s">
        <v>1072</v>
      </c>
    </row>
    <row r="85" spans="3:65" s="48" customFormat="1" ht="16.5" customHeight="1">
      <c r="C85" s="85" t="s">
        <v>359</v>
      </c>
      <c r="D85" s="85" t="s">
        <v>201</v>
      </c>
      <c r="E85" s="86" t="s">
        <v>1073</v>
      </c>
      <c r="F85" s="87" t="s">
        <v>1074</v>
      </c>
      <c r="G85" s="88" t="s">
        <v>260</v>
      </c>
      <c r="H85" s="89">
        <v>1</v>
      </c>
      <c r="I85" s="528"/>
      <c r="J85" s="90">
        <f t="shared" si="20"/>
        <v>0</v>
      </c>
      <c r="K85" s="522"/>
      <c r="L85" s="533" t="s">
        <v>2474</v>
      </c>
      <c r="M85" s="531" t="s">
        <v>854</v>
      </c>
      <c r="N85" s="78" t="s">
        <v>861</v>
      </c>
      <c r="O85" s="73">
        <v>0</v>
      </c>
      <c r="P85" s="73">
        <f t="shared" si="21"/>
        <v>0</v>
      </c>
      <c r="Q85" s="73">
        <v>0.018</v>
      </c>
      <c r="R85" s="73">
        <f t="shared" si="22"/>
        <v>0.018</v>
      </c>
      <c r="S85" s="73">
        <v>0</v>
      </c>
      <c r="T85" s="74">
        <f t="shared" si="23"/>
        <v>0</v>
      </c>
      <c r="AR85" s="75" t="s">
        <v>94</v>
      </c>
      <c r="AT85" s="75" t="s">
        <v>201</v>
      </c>
      <c r="AU85" s="75" t="s">
        <v>63</v>
      </c>
      <c r="AY85" s="47" t="s">
        <v>881</v>
      </c>
      <c r="BE85" s="76">
        <f t="shared" si="24"/>
        <v>0</v>
      </c>
      <c r="BF85" s="76">
        <f t="shared" si="25"/>
        <v>0</v>
      </c>
      <c r="BG85" s="76">
        <f t="shared" si="26"/>
        <v>0</v>
      </c>
      <c r="BH85" s="76">
        <f t="shared" si="27"/>
        <v>0</v>
      </c>
      <c r="BI85" s="76">
        <f t="shared" si="28"/>
        <v>0</v>
      </c>
      <c r="BJ85" s="47" t="s">
        <v>63</v>
      </c>
      <c r="BK85" s="76">
        <f t="shared" si="29"/>
        <v>0</v>
      </c>
      <c r="BL85" s="47" t="s">
        <v>71</v>
      </c>
      <c r="BM85" s="75" t="s">
        <v>1075</v>
      </c>
    </row>
    <row r="86" spans="3:65" s="48" customFormat="1" ht="16.5" customHeight="1">
      <c r="C86" s="79" t="s">
        <v>363</v>
      </c>
      <c r="D86" s="79" t="s">
        <v>883</v>
      </c>
      <c r="E86" s="80" t="s">
        <v>1076</v>
      </c>
      <c r="F86" s="81" t="s">
        <v>1077</v>
      </c>
      <c r="G86" s="82" t="s">
        <v>260</v>
      </c>
      <c r="H86" s="83">
        <v>14</v>
      </c>
      <c r="I86" s="527"/>
      <c r="J86" s="84">
        <f t="shared" si="20"/>
        <v>0</v>
      </c>
      <c r="K86" s="521"/>
      <c r="L86" s="533" t="s">
        <v>2474</v>
      </c>
      <c r="M86" s="530" t="s">
        <v>854</v>
      </c>
      <c r="N86" s="72" t="s">
        <v>861</v>
      </c>
      <c r="O86" s="73">
        <v>0.708</v>
      </c>
      <c r="P86" s="73">
        <f t="shared" si="21"/>
        <v>9.911999999999999</v>
      </c>
      <c r="Q86" s="73">
        <v>0.00034</v>
      </c>
      <c r="R86" s="73">
        <f t="shared" si="22"/>
        <v>0.00476</v>
      </c>
      <c r="S86" s="73">
        <v>0</v>
      </c>
      <c r="T86" s="74">
        <f t="shared" si="23"/>
        <v>0</v>
      </c>
      <c r="AR86" s="75" t="s">
        <v>71</v>
      </c>
      <c r="AT86" s="75" t="s">
        <v>883</v>
      </c>
      <c r="AU86" s="75" t="s">
        <v>63</v>
      </c>
      <c r="AY86" s="47" t="s">
        <v>881</v>
      </c>
      <c r="BE86" s="76">
        <f t="shared" si="24"/>
        <v>0</v>
      </c>
      <c r="BF86" s="76">
        <f t="shared" si="25"/>
        <v>0</v>
      </c>
      <c r="BG86" s="76">
        <f t="shared" si="26"/>
        <v>0</v>
      </c>
      <c r="BH86" s="76">
        <f t="shared" si="27"/>
        <v>0</v>
      </c>
      <c r="BI86" s="76">
        <f t="shared" si="28"/>
        <v>0</v>
      </c>
      <c r="BJ86" s="47" t="s">
        <v>63</v>
      </c>
      <c r="BK86" s="76">
        <f t="shared" si="29"/>
        <v>0</v>
      </c>
      <c r="BL86" s="47" t="s">
        <v>71</v>
      </c>
      <c r="BM86" s="75" t="s">
        <v>1078</v>
      </c>
    </row>
    <row r="87" spans="3:65" s="48" customFormat="1" ht="16.5" customHeight="1">
      <c r="C87" s="85" t="s">
        <v>369</v>
      </c>
      <c r="D87" s="85" t="s">
        <v>201</v>
      </c>
      <c r="E87" s="86" t="s">
        <v>1079</v>
      </c>
      <c r="F87" s="87" t="s">
        <v>1080</v>
      </c>
      <c r="G87" s="88" t="s">
        <v>260</v>
      </c>
      <c r="H87" s="89">
        <v>14</v>
      </c>
      <c r="I87" s="528"/>
      <c r="J87" s="90">
        <f t="shared" si="20"/>
        <v>0</v>
      </c>
      <c r="K87" s="522"/>
      <c r="L87" s="533" t="s">
        <v>2474</v>
      </c>
      <c r="M87" s="531" t="s">
        <v>854</v>
      </c>
      <c r="N87" s="78" t="s">
        <v>861</v>
      </c>
      <c r="O87" s="73">
        <v>0</v>
      </c>
      <c r="P87" s="73">
        <f t="shared" si="21"/>
        <v>0</v>
      </c>
      <c r="Q87" s="73">
        <v>0.027</v>
      </c>
      <c r="R87" s="73">
        <f t="shared" si="22"/>
        <v>0.378</v>
      </c>
      <c r="S87" s="73">
        <v>0</v>
      </c>
      <c r="T87" s="74">
        <f t="shared" si="23"/>
        <v>0</v>
      </c>
      <c r="AR87" s="75" t="s">
        <v>94</v>
      </c>
      <c r="AT87" s="75" t="s">
        <v>201</v>
      </c>
      <c r="AU87" s="75" t="s">
        <v>63</v>
      </c>
      <c r="AY87" s="47" t="s">
        <v>881</v>
      </c>
      <c r="BE87" s="76">
        <f t="shared" si="24"/>
        <v>0</v>
      </c>
      <c r="BF87" s="76">
        <f t="shared" si="25"/>
        <v>0</v>
      </c>
      <c r="BG87" s="76">
        <f t="shared" si="26"/>
        <v>0</v>
      </c>
      <c r="BH87" s="76">
        <f t="shared" si="27"/>
        <v>0</v>
      </c>
      <c r="BI87" s="76">
        <f t="shared" si="28"/>
        <v>0</v>
      </c>
      <c r="BJ87" s="47" t="s">
        <v>63</v>
      </c>
      <c r="BK87" s="76">
        <f t="shared" si="29"/>
        <v>0</v>
      </c>
      <c r="BL87" s="47" t="s">
        <v>71</v>
      </c>
      <c r="BM87" s="75" t="s">
        <v>1081</v>
      </c>
    </row>
    <row r="88" spans="3:65" s="48" customFormat="1" ht="16.5" customHeight="1">
      <c r="C88" s="79" t="s">
        <v>377</v>
      </c>
      <c r="D88" s="79" t="s">
        <v>883</v>
      </c>
      <c r="E88" s="80" t="s">
        <v>1082</v>
      </c>
      <c r="F88" s="81" t="s">
        <v>1083</v>
      </c>
      <c r="G88" s="82" t="s">
        <v>260</v>
      </c>
      <c r="H88" s="83">
        <v>1</v>
      </c>
      <c r="I88" s="527"/>
      <c r="J88" s="84">
        <f t="shared" si="20"/>
        <v>0</v>
      </c>
      <c r="K88" s="521"/>
      <c r="L88" s="533" t="s">
        <v>2474</v>
      </c>
      <c r="M88" s="530" t="s">
        <v>854</v>
      </c>
      <c r="N88" s="72" t="s">
        <v>861</v>
      </c>
      <c r="O88" s="73">
        <v>1.731</v>
      </c>
      <c r="P88" s="73">
        <f t="shared" si="21"/>
        <v>1.731</v>
      </c>
      <c r="Q88" s="73">
        <v>0.00136</v>
      </c>
      <c r="R88" s="73">
        <f t="shared" si="22"/>
        <v>0.00136</v>
      </c>
      <c r="S88" s="73">
        <v>0</v>
      </c>
      <c r="T88" s="74">
        <f t="shared" si="23"/>
        <v>0</v>
      </c>
      <c r="AR88" s="75" t="s">
        <v>71</v>
      </c>
      <c r="AT88" s="75" t="s">
        <v>883</v>
      </c>
      <c r="AU88" s="75" t="s">
        <v>63</v>
      </c>
      <c r="AY88" s="47" t="s">
        <v>881</v>
      </c>
      <c r="BE88" s="76">
        <f t="shared" si="24"/>
        <v>0</v>
      </c>
      <c r="BF88" s="76">
        <f t="shared" si="25"/>
        <v>0</v>
      </c>
      <c r="BG88" s="76">
        <f t="shared" si="26"/>
        <v>0</v>
      </c>
      <c r="BH88" s="76">
        <f t="shared" si="27"/>
        <v>0</v>
      </c>
      <c r="BI88" s="76">
        <f t="shared" si="28"/>
        <v>0</v>
      </c>
      <c r="BJ88" s="47" t="s">
        <v>63</v>
      </c>
      <c r="BK88" s="76">
        <f t="shared" si="29"/>
        <v>0</v>
      </c>
      <c r="BL88" s="47" t="s">
        <v>71</v>
      </c>
      <c r="BM88" s="75" t="s">
        <v>1084</v>
      </c>
    </row>
    <row r="89" spans="3:65" s="48" customFormat="1" ht="16.5" customHeight="1">
      <c r="C89" s="85" t="s">
        <v>382</v>
      </c>
      <c r="D89" s="85" t="s">
        <v>201</v>
      </c>
      <c r="E89" s="86" t="s">
        <v>1085</v>
      </c>
      <c r="F89" s="87" t="s">
        <v>2480</v>
      </c>
      <c r="G89" s="88" t="s">
        <v>260</v>
      </c>
      <c r="H89" s="89">
        <v>1</v>
      </c>
      <c r="I89" s="528"/>
      <c r="J89" s="90">
        <f t="shared" si="20"/>
        <v>0</v>
      </c>
      <c r="K89" s="522"/>
      <c r="L89" s="533" t="s">
        <v>2130</v>
      </c>
      <c r="M89" s="531" t="s">
        <v>854</v>
      </c>
      <c r="N89" s="78" t="s">
        <v>861</v>
      </c>
      <c r="O89" s="73">
        <v>0</v>
      </c>
      <c r="P89" s="73">
        <f t="shared" si="21"/>
        <v>0</v>
      </c>
      <c r="Q89" s="73">
        <v>0.068</v>
      </c>
      <c r="R89" s="73">
        <f t="shared" si="22"/>
        <v>0.068</v>
      </c>
      <c r="S89" s="73">
        <v>0</v>
      </c>
      <c r="T89" s="74">
        <f t="shared" si="23"/>
        <v>0</v>
      </c>
      <c r="AR89" s="75" t="s">
        <v>94</v>
      </c>
      <c r="AT89" s="75" t="s">
        <v>201</v>
      </c>
      <c r="AU89" s="75" t="s">
        <v>63</v>
      </c>
      <c r="AY89" s="47" t="s">
        <v>881</v>
      </c>
      <c r="BE89" s="76">
        <f t="shared" si="24"/>
        <v>0</v>
      </c>
      <c r="BF89" s="76">
        <f t="shared" si="25"/>
        <v>0</v>
      </c>
      <c r="BG89" s="76">
        <f t="shared" si="26"/>
        <v>0</v>
      </c>
      <c r="BH89" s="76">
        <f t="shared" si="27"/>
        <v>0</v>
      </c>
      <c r="BI89" s="76">
        <f t="shared" si="28"/>
        <v>0</v>
      </c>
      <c r="BJ89" s="47" t="s">
        <v>63</v>
      </c>
      <c r="BK89" s="76">
        <f t="shared" si="29"/>
        <v>0</v>
      </c>
      <c r="BL89" s="47" t="s">
        <v>71</v>
      </c>
      <c r="BM89" s="75" t="s">
        <v>1086</v>
      </c>
    </row>
    <row r="90" spans="3:65" s="48" customFormat="1" ht="21.75" customHeight="1">
      <c r="C90" s="79" t="s">
        <v>385</v>
      </c>
      <c r="D90" s="79" t="s">
        <v>883</v>
      </c>
      <c r="E90" s="80" t="s">
        <v>1087</v>
      </c>
      <c r="F90" s="81" t="s">
        <v>1088</v>
      </c>
      <c r="G90" s="82" t="s">
        <v>260</v>
      </c>
      <c r="H90" s="83">
        <v>12</v>
      </c>
      <c r="I90" s="527"/>
      <c r="J90" s="84">
        <f t="shared" si="20"/>
        <v>0</v>
      </c>
      <c r="K90" s="521"/>
      <c r="L90" s="533" t="s">
        <v>2474</v>
      </c>
      <c r="M90" s="530" t="s">
        <v>854</v>
      </c>
      <c r="N90" s="72" t="s">
        <v>861</v>
      </c>
      <c r="O90" s="73">
        <v>1.866</v>
      </c>
      <c r="P90" s="73">
        <f t="shared" si="21"/>
        <v>22.392000000000003</v>
      </c>
      <c r="Q90" s="73">
        <v>0.00165</v>
      </c>
      <c r="R90" s="73">
        <f t="shared" si="22"/>
        <v>0.019799999999999998</v>
      </c>
      <c r="S90" s="73">
        <v>0</v>
      </c>
      <c r="T90" s="74">
        <f t="shared" si="23"/>
        <v>0</v>
      </c>
      <c r="AR90" s="75" t="s">
        <v>71</v>
      </c>
      <c r="AT90" s="75" t="s">
        <v>883</v>
      </c>
      <c r="AU90" s="75" t="s">
        <v>63</v>
      </c>
      <c r="AY90" s="47" t="s">
        <v>881</v>
      </c>
      <c r="BE90" s="76">
        <f t="shared" si="24"/>
        <v>0</v>
      </c>
      <c r="BF90" s="76">
        <f t="shared" si="25"/>
        <v>0</v>
      </c>
      <c r="BG90" s="76">
        <f t="shared" si="26"/>
        <v>0</v>
      </c>
      <c r="BH90" s="76">
        <f t="shared" si="27"/>
        <v>0</v>
      </c>
      <c r="BI90" s="76">
        <f t="shared" si="28"/>
        <v>0</v>
      </c>
      <c r="BJ90" s="47" t="s">
        <v>63</v>
      </c>
      <c r="BK90" s="76">
        <f t="shared" si="29"/>
        <v>0</v>
      </c>
      <c r="BL90" s="47" t="s">
        <v>71</v>
      </c>
      <c r="BM90" s="75" t="s">
        <v>1089</v>
      </c>
    </row>
    <row r="91" spans="3:65" s="48" customFormat="1" ht="16.5" customHeight="1">
      <c r="C91" s="85" t="s">
        <v>388</v>
      </c>
      <c r="D91" s="85" t="s">
        <v>201</v>
      </c>
      <c r="E91" s="86" t="s">
        <v>1090</v>
      </c>
      <c r="F91" s="87" t="s">
        <v>1091</v>
      </c>
      <c r="G91" s="88" t="s">
        <v>260</v>
      </c>
      <c r="H91" s="89">
        <v>12</v>
      </c>
      <c r="I91" s="528"/>
      <c r="J91" s="90">
        <f t="shared" si="20"/>
        <v>0</v>
      </c>
      <c r="K91" s="522"/>
      <c r="L91" s="533" t="s">
        <v>2474</v>
      </c>
      <c r="M91" s="531" t="s">
        <v>854</v>
      </c>
      <c r="N91" s="78" t="s">
        <v>861</v>
      </c>
      <c r="O91" s="73">
        <v>0</v>
      </c>
      <c r="P91" s="73">
        <f t="shared" si="21"/>
        <v>0</v>
      </c>
      <c r="Q91" s="73">
        <v>0.023</v>
      </c>
      <c r="R91" s="73">
        <f t="shared" si="22"/>
        <v>0.276</v>
      </c>
      <c r="S91" s="73">
        <v>0</v>
      </c>
      <c r="T91" s="74">
        <f t="shared" si="23"/>
        <v>0</v>
      </c>
      <c r="AR91" s="75" t="s">
        <v>94</v>
      </c>
      <c r="AT91" s="75" t="s">
        <v>201</v>
      </c>
      <c r="AU91" s="75" t="s">
        <v>63</v>
      </c>
      <c r="AY91" s="47" t="s">
        <v>881</v>
      </c>
      <c r="BE91" s="76">
        <f t="shared" si="24"/>
        <v>0</v>
      </c>
      <c r="BF91" s="76">
        <f t="shared" si="25"/>
        <v>0</v>
      </c>
      <c r="BG91" s="76">
        <f t="shared" si="26"/>
        <v>0</v>
      </c>
      <c r="BH91" s="76">
        <f t="shared" si="27"/>
        <v>0</v>
      </c>
      <c r="BI91" s="76">
        <f t="shared" si="28"/>
        <v>0</v>
      </c>
      <c r="BJ91" s="47" t="s">
        <v>63</v>
      </c>
      <c r="BK91" s="76">
        <f t="shared" si="29"/>
        <v>0</v>
      </c>
      <c r="BL91" s="47" t="s">
        <v>71</v>
      </c>
      <c r="BM91" s="75" t="s">
        <v>1092</v>
      </c>
    </row>
    <row r="92" spans="3:65" s="48" customFormat="1" ht="21.75" customHeight="1">
      <c r="C92" s="79" t="s">
        <v>391</v>
      </c>
      <c r="D92" s="79" t="s">
        <v>883</v>
      </c>
      <c r="E92" s="80" t="s">
        <v>1093</v>
      </c>
      <c r="F92" s="81" t="s">
        <v>1094</v>
      </c>
      <c r="G92" s="82" t="s">
        <v>260</v>
      </c>
      <c r="H92" s="83">
        <v>7</v>
      </c>
      <c r="I92" s="527"/>
      <c r="J92" s="84">
        <f t="shared" si="20"/>
        <v>0</v>
      </c>
      <c r="K92" s="521"/>
      <c r="L92" s="533" t="s">
        <v>2474</v>
      </c>
      <c r="M92" s="530" t="s">
        <v>854</v>
      </c>
      <c r="N92" s="72" t="s">
        <v>861</v>
      </c>
      <c r="O92" s="73">
        <v>2.128</v>
      </c>
      <c r="P92" s="73">
        <f t="shared" si="21"/>
        <v>14.896</v>
      </c>
      <c r="Q92" s="73">
        <v>0.00296</v>
      </c>
      <c r="R92" s="73">
        <f t="shared" si="22"/>
        <v>0.02072</v>
      </c>
      <c r="S92" s="73">
        <v>0</v>
      </c>
      <c r="T92" s="74">
        <f t="shared" si="23"/>
        <v>0</v>
      </c>
      <c r="AR92" s="75" t="s">
        <v>71</v>
      </c>
      <c r="AT92" s="75" t="s">
        <v>883</v>
      </c>
      <c r="AU92" s="75" t="s">
        <v>63</v>
      </c>
      <c r="AY92" s="47" t="s">
        <v>881</v>
      </c>
      <c r="BE92" s="76">
        <f t="shared" si="24"/>
        <v>0</v>
      </c>
      <c r="BF92" s="76">
        <f t="shared" si="25"/>
        <v>0</v>
      </c>
      <c r="BG92" s="76">
        <f t="shared" si="26"/>
        <v>0</v>
      </c>
      <c r="BH92" s="76">
        <f t="shared" si="27"/>
        <v>0</v>
      </c>
      <c r="BI92" s="76">
        <f t="shared" si="28"/>
        <v>0</v>
      </c>
      <c r="BJ92" s="47" t="s">
        <v>63</v>
      </c>
      <c r="BK92" s="76">
        <f t="shared" si="29"/>
        <v>0</v>
      </c>
      <c r="BL92" s="47" t="s">
        <v>71</v>
      </c>
      <c r="BM92" s="75" t="s">
        <v>1095</v>
      </c>
    </row>
    <row r="93" spans="3:65" s="48" customFormat="1" ht="16.5" customHeight="1">
      <c r="C93" s="85" t="s">
        <v>394</v>
      </c>
      <c r="D93" s="85" t="s">
        <v>201</v>
      </c>
      <c r="E93" s="86" t="s">
        <v>1096</v>
      </c>
      <c r="F93" s="87" t="s">
        <v>1097</v>
      </c>
      <c r="G93" s="88" t="s">
        <v>260</v>
      </c>
      <c r="H93" s="89">
        <v>7</v>
      </c>
      <c r="I93" s="528"/>
      <c r="J93" s="90">
        <f t="shared" si="20"/>
        <v>0</v>
      </c>
      <c r="K93" s="522"/>
      <c r="L93" s="533" t="s">
        <v>2474</v>
      </c>
      <c r="M93" s="531" t="s">
        <v>854</v>
      </c>
      <c r="N93" s="78" t="s">
        <v>861</v>
      </c>
      <c r="O93" s="73">
        <v>0</v>
      </c>
      <c r="P93" s="73">
        <f t="shared" si="21"/>
        <v>0</v>
      </c>
      <c r="Q93" s="73">
        <v>0.046</v>
      </c>
      <c r="R93" s="73">
        <f t="shared" si="22"/>
        <v>0.322</v>
      </c>
      <c r="S93" s="73">
        <v>0</v>
      </c>
      <c r="T93" s="74">
        <f t="shared" si="23"/>
        <v>0</v>
      </c>
      <c r="AR93" s="75" t="s">
        <v>94</v>
      </c>
      <c r="AT93" s="75" t="s">
        <v>201</v>
      </c>
      <c r="AU93" s="75" t="s">
        <v>63</v>
      </c>
      <c r="AY93" s="47" t="s">
        <v>881</v>
      </c>
      <c r="BE93" s="76">
        <f t="shared" si="24"/>
        <v>0</v>
      </c>
      <c r="BF93" s="76">
        <f t="shared" si="25"/>
        <v>0</v>
      </c>
      <c r="BG93" s="76">
        <f t="shared" si="26"/>
        <v>0</v>
      </c>
      <c r="BH93" s="76">
        <f t="shared" si="27"/>
        <v>0</v>
      </c>
      <c r="BI93" s="76">
        <f t="shared" si="28"/>
        <v>0</v>
      </c>
      <c r="BJ93" s="47" t="s">
        <v>63</v>
      </c>
      <c r="BK93" s="76">
        <f t="shared" si="29"/>
        <v>0</v>
      </c>
      <c r="BL93" s="47" t="s">
        <v>71</v>
      </c>
      <c r="BM93" s="75" t="s">
        <v>1098</v>
      </c>
    </row>
    <row r="94" spans="3:65" s="48" customFormat="1" ht="21.75" customHeight="1">
      <c r="C94" s="79" t="s">
        <v>542</v>
      </c>
      <c r="D94" s="79" t="s">
        <v>883</v>
      </c>
      <c r="E94" s="80" t="s">
        <v>1099</v>
      </c>
      <c r="F94" s="81" t="s">
        <v>1100</v>
      </c>
      <c r="G94" s="82" t="s">
        <v>74</v>
      </c>
      <c r="H94" s="83">
        <v>478</v>
      </c>
      <c r="I94" s="527"/>
      <c r="J94" s="84">
        <f t="shared" si="20"/>
        <v>0</v>
      </c>
      <c r="K94" s="521"/>
      <c r="L94" s="533" t="s">
        <v>2474</v>
      </c>
      <c r="M94" s="530" t="s">
        <v>854</v>
      </c>
      <c r="N94" s="72" t="s">
        <v>861</v>
      </c>
      <c r="O94" s="73">
        <v>0.044</v>
      </c>
      <c r="P94" s="73">
        <f t="shared" si="21"/>
        <v>21.032</v>
      </c>
      <c r="Q94" s="73">
        <v>0</v>
      </c>
      <c r="R94" s="73">
        <f t="shared" si="22"/>
        <v>0</v>
      </c>
      <c r="S94" s="73">
        <v>0</v>
      </c>
      <c r="T94" s="74">
        <f t="shared" si="23"/>
        <v>0</v>
      </c>
      <c r="AR94" s="75" t="s">
        <v>71</v>
      </c>
      <c r="AT94" s="75" t="s">
        <v>883</v>
      </c>
      <c r="AU94" s="75" t="s">
        <v>63</v>
      </c>
      <c r="AY94" s="47" t="s">
        <v>881</v>
      </c>
      <c r="BE94" s="76">
        <f t="shared" si="24"/>
        <v>0</v>
      </c>
      <c r="BF94" s="76">
        <f t="shared" si="25"/>
        <v>0</v>
      </c>
      <c r="BG94" s="76">
        <f t="shared" si="26"/>
        <v>0</v>
      </c>
      <c r="BH94" s="76">
        <f t="shared" si="27"/>
        <v>0</v>
      </c>
      <c r="BI94" s="76">
        <f t="shared" si="28"/>
        <v>0</v>
      </c>
      <c r="BJ94" s="47" t="s">
        <v>63</v>
      </c>
      <c r="BK94" s="76">
        <f t="shared" si="29"/>
        <v>0</v>
      </c>
      <c r="BL94" s="47" t="s">
        <v>71</v>
      </c>
      <c r="BM94" s="75" t="s">
        <v>1101</v>
      </c>
    </row>
    <row r="95" spans="3:65" s="48" customFormat="1" ht="24.15" customHeight="1">
      <c r="C95" s="79" t="s">
        <v>546</v>
      </c>
      <c r="D95" s="79" t="s">
        <v>883</v>
      </c>
      <c r="E95" s="80" t="s">
        <v>1102</v>
      </c>
      <c r="F95" s="81" t="s">
        <v>1103</v>
      </c>
      <c r="G95" s="82" t="s">
        <v>74</v>
      </c>
      <c r="H95" s="83">
        <v>478</v>
      </c>
      <c r="I95" s="527"/>
      <c r="J95" s="84">
        <f t="shared" si="20"/>
        <v>0</v>
      </c>
      <c r="K95" s="521"/>
      <c r="L95" s="533" t="s">
        <v>2474</v>
      </c>
      <c r="M95" s="530" t="s">
        <v>854</v>
      </c>
      <c r="N95" s="72" t="s">
        <v>861</v>
      </c>
      <c r="O95" s="73">
        <v>0.079</v>
      </c>
      <c r="P95" s="73">
        <f t="shared" si="21"/>
        <v>37.762</v>
      </c>
      <c r="Q95" s="73">
        <v>0</v>
      </c>
      <c r="R95" s="73">
        <f t="shared" si="22"/>
        <v>0</v>
      </c>
      <c r="S95" s="73">
        <v>0</v>
      </c>
      <c r="T95" s="74">
        <f t="shared" si="23"/>
        <v>0</v>
      </c>
      <c r="AR95" s="75" t="s">
        <v>71</v>
      </c>
      <c r="AT95" s="75" t="s">
        <v>883</v>
      </c>
      <c r="AU95" s="75" t="s">
        <v>63</v>
      </c>
      <c r="AY95" s="47" t="s">
        <v>881</v>
      </c>
      <c r="BE95" s="76">
        <f t="shared" si="24"/>
        <v>0</v>
      </c>
      <c r="BF95" s="76">
        <f t="shared" si="25"/>
        <v>0</v>
      </c>
      <c r="BG95" s="76">
        <f t="shared" si="26"/>
        <v>0</v>
      </c>
      <c r="BH95" s="76">
        <f t="shared" si="27"/>
        <v>0</v>
      </c>
      <c r="BI95" s="76">
        <f t="shared" si="28"/>
        <v>0</v>
      </c>
      <c r="BJ95" s="47" t="s">
        <v>63</v>
      </c>
      <c r="BK95" s="76">
        <f t="shared" si="29"/>
        <v>0</v>
      </c>
      <c r="BL95" s="47" t="s">
        <v>71</v>
      </c>
      <c r="BM95" s="75" t="s">
        <v>1104</v>
      </c>
    </row>
    <row r="96" spans="3:65" s="48" customFormat="1" ht="21.75" customHeight="1">
      <c r="C96" s="79" t="s">
        <v>547</v>
      </c>
      <c r="D96" s="79" t="s">
        <v>883</v>
      </c>
      <c r="E96" s="80" t="s">
        <v>1105</v>
      </c>
      <c r="F96" s="81" t="s">
        <v>1106</v>
      </c>
      <c r="G96" s="82" t="s">
        <v>74</v>
      </c>
      <c r="H96" s="83">
        <v>152</v>
      </c>
      <c r="I96" s="527"/>
      <c r="J96" s="84">
        <f t="shared" si="20"/>
        <v>0</v>
      </c>
      <c r="K96" s="521"/>
      <c r="L96" s="533" t="s">
        <v>2474</v>
      </c>
      <c r="M96" s="530" t="s">
        <v>854</v>
      </c>
      <c r="N96" s="72" t="s">
        <v>861</v>
      </c>
      <c r="O96" s="73">
        <v>0.055</v>
      </c>
      <c r="P96" s="73">
        <f t="shared" si="21"/>
        <v>8.36</v>
      </c>
      <c r="Q96" s="73">
        <v>0</v>
      </c>
      <c r="R96" s="73">
        <f t="shared" si="22"/>
        <v>0</v>
      </c>
      <c r="S96" s="73">
        <v>0</v>
      </c>
      <c r="T96" s="74">
        <f t="shared" si="23"/>
        <v>0</v>
      </c>
      <c r="AR96" s="75" t="s">
        <v>71</v>
      </c>
      <c r="AT96" s="75" t="s">
        <v>883</v>
      </c>
      <c r="AU96" s="75" t="s">
        <v>63</v>
      </c>
      <c r="AY96" s="47" t="s">
        <v>881</v>
      </c>
      <c r="BE96" s="76">
        <f t="shared" si="24"/>
        <v>0</v>
      </c>
      <c r="BF96" s="76">
        <f t="shared" si="25"/>
        <v>0</v>
      </c>
      <c r="BG96" s="76">
        <f t="shared" si="26"/>
        <v>0</v>
      </c>
      <c r="BH96" s="76">
        <f t="shared" si="27"/>
        <v>0</v>
      </c>
      <c r="BI96" s="76">
        <f t="shared" si="28"/>
        <v>0</v>
      </c>
      <c r="BJ96" s="47" t="s">
        <v>63</v>
      </c>
      <c r="BK96" s="76">
        <f t="shared" si="29"/>
        <v>0</v>
      </c>
      <c r="BL96" s="47" t="s">
        <v>71</v>
      </c>
      <c r="BM96" s="75" t="s">
        <v>1107</v>
      </c>
    </row>
    <row r="97" spans="3:65" s="48" customFormat="1" ht="24.15" customHeight="1">
      <c r="C97" s="79" t="s">
        <v>548</v>
      </c>
      <c r="D97" s="79" t="s">
        <v>883</v>
      </c>
      <c r="E97" s="80" t="s">
        <v>1108</v>
      </c>
      <c r="F97" s="81" t="s">
        <v>1109</v>
      </c>
      <c r="G97" s="82" t="s">
        <v>74</v>
      </c>
      <c r="H97" s="83">
        <v>152</v>
      </c>
      <c r="I97" s="527"/>
      <c r="J97" s="84">
        <f t="shared" si="20"/>
        <v>0</v>
      </c>
      <c r="K97" s="521"/>
      <c r="L97" s="533" t="s">
        <v>2474</v>
      </c>
      <c r="M97" s="530" t="s">
        <v>854</v>
      </c>
      <c r="N97" s="72" t="s">
        <v>861</v>
      </c>
      <c r="O97" s="73">
        <v>0.124</v>
      </c>
      <c r="P97" s="73">
        <f t="shared" si="21"/>
        <v>18.848</v>
      </c>
      <c r="Q97" s="73">
        <v>0</v>
      </c>
      <c r="R97" s="73">
        <f t="shared" si="22"/>
        <v>0</v>
      </c>
      <c r="S97" s="73">
        <v>0</v>
      </c>
      <c r="T97" s="74">
        <f t="shared" si="23"/>
        <v>0</v>
      </c>
      <c r="AR97" s="75" t="s">
        <v>71</v>
      </c>
      <c r="AT97" s="75" t="s">
        <v>883</v>
      </c>
      <c r="AU97" s="75" t="s">
        <v>63</v>
      </c>
      <c r="AY97" s="47" t="s">
        <v>881</v>
      </c>
      <c r="BE97" s="76">
        <f t="shared" si="24"/>
        <v>0</v>
      </c>
      <c r="BF97" s="76">
        <f t="shared" si="25"/>
        <v>0</v>
      </c>
      <c r="BG97" s="76">
        <f t="shared" si="26"/>
        <v>0</v>
      </c>
      <c r="BH97" s="76">
        <f t="shared" si="27"/>
        <v>0</v>
      </c>
      <c r="BI97" s="76">
        <f t="shared" si="28"/>
        <v>0</v>
      </c>
      <c r="BJ97" s="47" t="s">
        <v>63</v>
      </c>
      <c r="BK97" s="76">
        <f t="shared" si="29"/>
        <v>0</v>
      </c>
      <c r="BL97" s="47" t="s">
        <v>71</v>
      </c>
      <c r="BM97" s="75" t="s">
        <v>1110</v>
      </c>
    </row>
    <row r="98" spans="3:65" s="48" customFormat="1" ht="24.15" customHeight="1">
      <c r="C98" s="79" t="s">
        <v>549</v>
      </c>
      <c r="D98" s="79" t="s">
        <v>883</v>
      </c>
      <c r="E98" s="80" t="s">
        <v>1111</v>
      </c>
      <c r="F98" s="81" t="s">
        <v>1112</v>
      </c>
      <c r="G98" s="82" t="s">
        <v>260</v>
      </c>
      <c r="H98" s="83">
        <v>8</v>
      </c>
      <c r="I98" s="527"/>
      <c r="J98" s="84">
        <f t="shared" si="20"/>
        <v>0</v>
      </c>
      <c r="K98" s="521"/>
      <c r="L98" s="533" t="s">
        <v>2474</v>
      </c>
      <c r="M98" s="530" t="s">
        <v>854</v>
      </c>
      <c r="N98" s="72" t="s">
        <v>861</v>
      </c>
      <c r="O98" s="73">
        <v>10.3</v>
      </c>
      <c r="P98" s="73">
        <f t="shared" si="21"/>
        <v>82.4</v>
      </c>
      <c r="Q98" s="73">
        <v>0.46009</v>
      </c>
      <c r="R98" s="73">
        <f t="shared" si="22"/>
        <v>3.68072</v>
      </c>
      <c r="S98" s="73">
        <v>0</v>
      </c>
      <c r="T98" s="74">
        <f t="shared" si="23"/>
        <v>0</v>
      </c>
      <c r="AR98" s="75" t="s">
        <v>71</v>
      </c>
      <c r="AT98" s="75" t="s">
        <v>883</v>
      </c>
      <c r="AU98" s="75" t="s">
        <v>63</v>
      </c>
      <c r="AY98" s="47" t="s">
        <v>881</v>
      </c>
      <c r="BE98" s="76">
        <f t="shared" si="24"/>
        <v>0</v>
      </c>
      <c r="BF98" s="76">
        <f t="shared" si="25"/>
        <v>0</v>
      </c>
      <c r="BG98" s="76">
        <f t="shared" si="26"/>
        <v>0</v>
      </c>
      <c r="BH98" s="76">
        <f t="shared" si="27"/>
        <v>0</v>
      </c>
      <c r="BI98" s="76">
        <f t="shared" si="28"/>
        <v>0</v>
      </c>
      <c r="BJ98" s="47" t="s">
        <v>63</v>
      </c>
      <c r="BK98" s="76">
        <f t="shared" si="29"/>
        <v>0</v>
      </c>
      <c r="BL98" s="47" t="s">
        <v>71</v>
      </c>
      <c r="BM98" s="75" t="s">
        <v>1113</v>
      </c>
    </row>
    <row r="99" spans="3:65" s="48" customFormat="1" ht="16.5" customHeight="1">
      <c r="C99" s="85" t="s">
        <v>552</v>
      </c>
      <c r="D99" s="85" t="s">
        <v>201</v>
      </c>
      <c r="E99" s="86" t="s">
        <v>1114</v>
      </c>
      <c r="F99" s="87" t="s">
        <v>1115</v>
      </c>
      <c r="G99" s="88" t="s">
        <v>260</v>
      </c>
      <c r="H99" s="89">
        <v>14</v>
      </c>
      <c r="I99" s="528"/>
      <c r="J99" s="90">
        <f t="shared" si="20"/>
        <v>0</v>
      </c>
      <c r="K99" s="522"/>
      <c r="L99" s="533" t="s">
        <v>2474</v>
      </c>
      <c r="M99" s="531" t="s">
        <v>854</v>
      </c>
      <c r="N99" s="78" t="s">
        <v>861</v>
      </c>
      <c r="O99" s="73">
        <v>0</v>
      </c>
      <c r="P99" s="73">
        <f t="shared" si="21"/>
        <v>0</v>
      </c>
      <c r="Q99" s="73">
        <v>0.0295</v>
      </c>
      <c r="R99" s="73">
        <f t="shared" si="22"/>
        <v>0.413</v>
      </c>
      <c r="S99" s="73">
        <v>0</v>
      </c>
      <c r="T99" s="74">
        <f t="shared" si="23"/>
        <v>0</v>
      </c>
      <c r="AR99" s="75" t="s">
        <v>94</v>
      </c>
      <c r="AT99" s="75" t="s">
        <v>201</v>
      </c>
      <c r="AU99" s="75" t="s">
        <v>63</v>
      </c>
      <c r="AY99" s="47" t="s">
        <v>881</v>
      </c>
      <c r="BE99" s="76">
        <f t="shared" si="24"/>
        <v>0</v>
      </c>
      <c r="BF99" s="76">
        <f t="shared" si="25"/>
        <v>0</v>
      </c>
      <c r="BG99" s="76">
        <f t="shared" si="26"/>
        <v>0</v>
      </c>
      <c r="BH99" s="76">
        <f t="shared" si="27"/>
        <v>0</v>
      </c>
      <c r="BI99" s="76">
        <f t="shared" si="28"/>
        <v>0</v>
      </c>
      <c r="BJ99" s="47" t="s">
        <v>63</v>
      </c>
      <c r="BK99" s="76">
        <f t="shared" si="29"/>
        <v>0</v>
      </c>
      <c r="BL99" s="47" t="s">
        <v>71</v>
      </c>
      <c r="BM99" s="75" t="s">
        <v>1116</v>
      </c>
    </row>
    <row r="100" spans="3:65" s="48" customFormat="1" ht="16.5" customHeight="1">
      <c r="C100" s="79" t="s">
        <v>556</v>
      </c>
      <c r="D100" s="79" t="s">
        <v>883</v>
      </c>
      <c r="E100" s="80" t="s">
        <v>1117</v>
      </c>
      <c r="F100" s="81" t="s">
        <v>1118</v>
      </c>
      <c r="G100" s="82" t="s">
        <v>260</v>
      </c>
      <c r="H100" s="83">
        <v>20</v>
      </c>
      <c r="I100" s="527"/>
      <c r="J100" s="84">
        <f t="shared" si="20"/>
        <v>0</v>
      </c>
      <c r="K100" s="521"/>
      <c r="L100" s="533" t="s">
        <v>2474</v>
      </c>
      <c r="M100" s="530" t="s">
        <v>854</v>
      </c>
      <c r="N100" s="72" t="s">
        <v>861</v>
      </c>
      <c r="O100" s="73">
        <v>0.863</v>
      </c>
      <c r="P100" s="73">
        <f t="shared" si="21"/>
        <v>17.259999999999998</v>
      </c>
      <c r="Q100" s="73">
        <v>0.12303</v>
      </c>
      <c r="R100" s="73">
        <f t="shared" si="22"/>
        <v>2.4606</v>
      </c>
      <c r="S100" s="73">
        <v>0</v>
      </c>
      <c r="T100" s="74">
        <f t="shared" si="23"/>
        <v>0</v>
      </c>
      <c r="AR100" s="75" t="s">
        <v>71</v>
      </c>
      <c r="AT100" s="75" t="s">
        <v>883</v>
      </c>
      <c r="AU100" s="75" t="s">
        <v>63</v>
      </c>
      <c r="AY100" s="47" t="s">
        <v>881</v>
      </c>
      <c r="BE100" s="76">
        <f t="shared" si="24"/>
        <v>0</v>
      </c>
      <c r="BF100" s="76">
        <f t="shared" si="25"/>
        <v>0</v>
      </c>
      <c r="BG100" s="76">
        <f t="shared" si="26"/>
        <v>0</v>
      </c>
      <c r="BH100" s="76">
        <f t="shared" si="27"/>
        <v>0</v>
      </c>
      <c r="BI100" s="76">
        <f t="shared" si="28"/>
        <v>0</v>
      </c>
      <c r="BJ100" s="47" t="s">
        <v>63</v>
      </c>
      <c r="BK100" s="76">
        <f t="shared" si="29"/>
        <v>0</v>
      </c>
      <c r="BL100" s="47" t="s">
        <v>71</v>
      </c>
      <c r="BM100" s="75" t="s">
        <v>1119</v>
      </c>
    </row>
    <row r="101" spans="3:65" s="48" customFormat="1" ht="24.15" customHeight="1">
      <c r="C101" s="85" t="s">
        <v>559</v>
      </c>
      <c r="D101" s="85" t="s">
        <v>201</v>
      </c>
      <c r="E101" s="86" t="s">
        <v>1120</v>
      </c>
      <c r="F101" s="87" t="s">
        <v>1121</v>
      </c>
      <c r="G101" s="88" t="s">
        <v>260</v>
      </c>
      <c r="H101" s="89">
        <v>20</v>
      </c>
      <c r="I101" s="528"/>
      <c r="J101" s="90">
        <f t="shared" si="20"/>
        <v>0</v>
      </c>
      <c r="K101" s="522"/>
      <c r="L101" s="533" t="s">
        <v>2474</v>
      </c>
      <c r="M101" s="531" t="s">
        <v>854</v>
      </c>
      <c r="N101" s="78" t="s">
        <v>861</v>
      </c>
      <c r="O101" s="73">
        <v>0</v>
      </c>
      <c r="P101" s="73">
        <f t="shared" si="21"/>
        <v>0</v>
      </c>
      <c r="Q101" s="73">
        <v>0.0133</v>
      </c>
      <c r="R101" s="73">
        <f t="shared" si="22"/>
        <v>0.266</v>
      </c>
      <c r="S101" s="73">
        <v>0</v>
      </c>
      <c r="T101" s="74">
        <f t="shared" si="23"/>
        <v>0</v>
      </c>
      <c r="AR101" s="75" t="s">
        <v>94</v>
      </c>
      <c r="AT101" s="75" t="s">
        <v>201</v>
      </c>
      <c r="AU101" s="75" t="s">
        <v>63</v>
      </c>
      <c r="AY101" s="47" t="s">
        <v>881</v>
      </c>
      <c r="BE101" s="76">
        <f t="shared" si="24"/>
        <v>0</v>
      </c>
      <c r="BF101" s="76">
        <f t="shared" si="25"/>
        <v>0</v>
      </c>
      <c r="BG101" s="76">
        <f t="shared" si="26"/>
        <v>0</v>
      </c>
      <c r="BH101" s="76">
        <f t="shared" si="27"/>
        <v>0</v>
      </c>
      <c r="BI101" s="76">
        <f t="shared" si="28"/>
        <v>0</v>
      </c>
      <c r="BJ101" s="47" t="s">
        <v>63</v>
      </c>
      <c r="BK101" s="76">
        <f t="shared" si="29"/>
        <v>0</v>
      </c>
      <c r="BL101" s="47" t="s">
        <v>71</v>
      </c>
      <c r="BM101" s="75" t="s">
        <v>1122</v>
      </c>
    </row>
    <row r="102" spans="3:65" s="48" customFormat="1" ht="16.5" customHeight="1">
      <c r="C102" s="79" t="s">
        <v>560</v>
      </c>
      <c r="D102" s="79" t="s">
        <v>883</v>
      </c>
      <c r="E102" s="80" t="s">
        <v>1123</v>
      </c>
      <c r="F102" s="81" t="s">
        <v>1124</v>
      </c>
      <c r="G102" s="82" t="s">
        <v>260</v>
      </c>
      <c r="H102" s="83">
        <v>14</v>
      </c>
      <c r="I102" s="527"/>
      <c r="J102" s="84">
        <f t="shared" si="20"/>
        <v>0</v>
      </c>
      <c r="K102" s="521"/>
      <c r="L102" s="533" t="s">
        <v>2474</v>
      </c>
      <c r="M102" s="530" t="s">
        <v>854</v>
      </c>
      <c r="N102" s="72" t="s">
        <v>861</v>
      </c>
      <c r="O102" s="73">
        <v>1.182</v>
      </c>
      <c r="P102" s="73">
        <f t="shared" si="21"/>
        <v>16.548</v>
      </c>
      <c r="Q102" s="73">
        <v>0.32906</v>
      </c>
      <c r="R102" s="73">
        <f t="shared" si="22"/>
        <v>4.60684</v>
      </c>
      <c r="S102" s="73">
        <v>0</v>
      </c>
      <c r="T102" s="74">
        <f t="shared" si="23"/>
        <v>0</v>
      </c>
      <c r="AR102" s="75" t="s">
        <v>71</v>
      </c>
      <c r="AT102" s="75" t="s">
        <v>883</v>
      </c>
      <c r="AU102" s="75" t="s">
        <v>63</v>
      </c>
      <c r="AY102" s="47" t="s">
        <v>881</v>
      </c>
      <c r="BE102" s="76">
        <f t="shared" si="24"/>
        <v>0</v>
      </c>
      <c r="BF102" s="76">
        <f t="shared" si="25"/>
        <v>0</v>
      </c>
      <c r="BG102" s="76">
        <f t="shared" si="26"/>
        <v>0</v>
      </c>
      <c r="BH102" s="76">
        <f t="shared" si="27"/>
        <v>0</v>
      </c>
      <c r="BI102" s="76">
        <f t="shared" si="28"/>
        <v>0</v>
      </c>
      <c r="BJ102" s="47" t="s">
        <v>63</v>
      </c>
      <c r="BK102" s="76">
        <f t="shared" si="29"/>
        <v>0</v>
      </c>
      <c r="BL102" s="47" t="s">
        <v>71</v>
      </c>
      <c r="BM102" s="75" t="s">
        <v>1125</v>
      </c>
    </row>
    <row r="103" spans="3:65" s="48" customFormat="1" ht="24.15" customHeight="1">
      <c r="C103" s="79" t="s">
        <v>561</v>
      </c>
      <c r="D103" s="79" t="s">
        <v>883</v>
      </c>
      <c r="E103" s="80" t="s">
        <v>1126</v>
      </c>
      <c r="F103" s="81" t="s">
        <v>1127</v>
      </c>
      <c r="G103" s="82" t="s">
        <v>260</v>
      </c>
      <c r="H103" s="83">
        <v>34</v>
      </c>
      <c r="I103" s="527"/>
      <c r="J103" s="84">
        <f t="shared" si="20"/>
        <v>0</v>
      </c>
      <c r="K103" s="521"/>
      <c r="L103" s="533" t="s">
        <v>2474</v>
      </c>
      <c r="M103" s="530" t="s">
        <v>854</v>
      </c>
      <c r="N103" s="72" t="s">
        <v>861</v>
      </c>
      <c r="O103" s="73">
        <v>0.403</v>
      </c>
      <c r="P103" s="73">
        <f t="shared" si="21"/>
        <v>13.702000000000002</v>
      </c>
      <c r="Q103" s="73">
        <v>0.00016</v>
      </c>
      <c r="R103" s="73">
        <f t="shared" si="22"/>
        <v>0.00544</v>
      </c>
      <c r="S103" s="73">
        <v>0</v>
      </c>
      <c r="T103" s="74">
        <f t="shared" si="23"/>
        <v>0</v>
      </c>
      <c r="AR103" s="75" t="s">
        <v>71</v>
      </c>
      <c r="AT103" s="75" t="s">
        <v>883</v>
      </c>
      <c r="AU103" s="75" t="s">
        <v>63</v>
      </c>
      <c r="AY103" s="47" t="s">
        <v>881</v>
      </c>
      <c r="BE103" s="76">
        <f t="shared" si="24"/>
        <v>0</v>
      </c>
      <c r="BF103" s="76">
        <f t="shared" si="25"/>
        <v>0</v>
      </c>
      <c r="BG103" s="76">
        <f t="shared" si="26"/>
        <v>0</v>
      </c>
      <c r="BH103" s="76">
        <f t="shared" si="27"/>
        <v>0</v>
      </c>
      <c r="BI103" s="76">
        <f t="shared" si="28"/>
        <v>0</v>
      </c>
      <c r="BJ103" s="47" t="s">
        <v>63</v>
      </c>
      <c r="BK103" s="76">
        <f t="shared" si="29"/>
        <v>0</v>
      </c>
      <c r="BL103" s="47" t="s">
        <v>71</v>
      </c>
      <c r="BM103" s="75" t="s">
        <v>1128</v>
      </c>
    </row>
    <row r="104" spans="3:65" s="48" customFormat="1" ht="21.75" customHeight="1">
      <c r="C104" s="79" t="s">
        <v>562</v>
      </c>
      <c r="D104" s="79" t="s">
        <v>883</v>
      </c>
      <c r="E104" s="80" t="s">
        <v>1129</v>
      </c>
      <c r="F104" s="81" t="s">
        <v>1130</v>
      </c>
      <c r="G104" s="82" t="s">
        <v>74</v>
      </c>
      <c r="H104" s="83">
        <v>1260</v>
      </c>
      <c r="I104" s="527"/>
      <c r="J104" s="84">
        <f t="shared" si="20"/>
        <v>0</v>
      </c>
      <c r="K104" s="521"/>
      <c r="L104" s="533" t="s">
        <v>2474</v>
      </c>
      <c r="M104" s="530" t="s">
        <v>854</v>
      </c>
      <c r="N104" s="72" t="s">
        <v>861</v>
      </c>
      <c r="O104" s="73">
        <v>0.054</v>
      </c>
      <c r="P104" s="73">
        <f t="shared" si="21"/>
        <v>68.04</v>
      </c>
      <c r="Q104" s="73">
        <v>0.00019</v>
      </c>
      <c r="R104" s="73">
        <f t="shared" si="22"/>
        <v>0.2394</v>
      </c>
      <c r="S104" s="73">
        <v>0</v>
      </c>
      <c r="T104" s="74">
        <f t="shared" si="23"/>
        <v>0</v>
      </c>
      <c r="AR104" s="75" t="s">
        <v>71</v>
      </c>
      <c r="AT104" s="75" t="s">
        <v>883</v>
      </c>
      <c r="AU104" s="75" t="s">
        <v>63</v>
      </c>
      <c r="AY104" s="47" t="s">
        <v>881</v>
      </c>
      <c r="BE104" s="76">
        <f t="shared" si="24"/>
        <v>0</v>
      </c>
      <c r="BF104" s="76">
        <f t="shared" si="25"/>
        <v>0</v>
      </c>
      <c r="BG104" s="76">
        <f t="shared" si="26"/>
        <v>0</v>
      </c>
      <c r="BH104" s="76">
        <f t="shared" si="27"/>
        <v>0</v>
      </c>
      <c r="BI104" s="76">
        <f t="shared" si="28"/>
        <v>0</v>
      </c>
      <c r="BJ104" s="47" t="s">
        <v>63</v>
      </c>
      <c r="BK104" s="76">
        <f t="shared" si="29"/>
        <v>0</v>
      </c>
      <c r="BL104" s="47" t="s">
        <v>71</v>
      </c>
      <c r="BM104" s="75" t="s">
        <v>1131</v>
      </c>
    </row>
    <row r="105" spans="3:65" s="48" customFormat="1" ht="16.5" customHeight="1">
      <c r="C105" s="79" t="s">
        <v>279</v>
      </c>
      <c r="D105" s="79" t="s">
        <v>883</v>
      </c>
      <c r="E105" s="80" t="s">
        <v>1132</v>
      </c>
      <c r="F105" s="81" t="s">
        <v>1133</v>
      </c>
      <c r="G105" s="82" t="s">
        <v>1134</v>
      </c>
      <c r="H105" s="83">
        <v>1</v>
      </c>
      <c r="I105" s="527"/>
      <c r="J105" s="84">
        <f t="shared" si="20"/>
        <v>0</v>
      </c>
      <c r="K105" s="521"/>
      <c r="L105" s="533" t="s">
        <v>2130</v>
      </c>
      <c r="M105" s="530" t="s">
        <v>854</v>
      </c>
      <c r="N105" s="72" t="s">
        <v>861</v>
      </c>
      <c r="O105" s="73">
        <v>0.054</v>
      </c>
      <c r="P105" s="73">
        <f t="shared" si="21"/>
        <v>0.054</v>
      </c>
      <c r="Q105" s="73">
        <v>0.00019</v>
      </c>
      <c r="R105" s="73">
        <f t="shared" si="22"/>
        <v>0.00019</v>
      </c>
      <c r="S105" s="73">
        <v>0</v>
      </c>
      <c r="T105" s="74">
        <f t="shared" si="23"/>
        <v>0</v>
      </c>
      <c r="AR105" s="75" t="s">
        <v>71</v>
      </c>
      <c r="AT105" s="75" t="s">
        <v>883</v>
      </c>
      <c r="AU105" s="75" t="s">
        <v>63</v>
      </c>
      <c r="AY105" s="47" t="s">
        <v>881</v>
      </c>
      <c r="BE105" s="76">
        <f t="shared" si="24"/>
        <v>0</v>
      </c>
      <c r="BF105" s="76">
        <f t="shared" si="25"/>
        <v>0</v>
      </c>
      <c r="BG105" s="76">
        <f t="shared" si="26"/>
        <v>0</v>
      </c>
      <c r="BH105" s="76">
        <f t="shared" si="27"/>
        <v>0</v>
      </c>
      <c r="BI105" s="76">
        <f t="shared" si="28"/>
        <v>0</v>
      </c>
      <c r="BJ105" s="47" t="s">
        <v>63</v>
      </c>
      <c r="BK105" s="76">
        <f t="shared" si="29"/>
        <v>0</v>
      </c>
      <c r="BL105" s="47" t="s">
        <v>71</v>
      </c>
      <c r="BM105" s="75" t="s">
        <v>1135</v>
      </c>
    </row>
    <row r="106" spans="3:65" s="48" customFormat="1" ht="21.75" customHeight="1">
      <c r="C106" s="79" t="s">
        <v>563</v>
      </c>
      <c r="D106" s="79" t="s">
        <v>883</v>
      </c>
      <c r="E106" s="80" t="s">
        <v>1136</v>
      </c>
      <c r="F106" s="81" t="s">
        <v>1137</v>
      </c>
      <c r="G106" s="82" t="s">
        <v>74</v>
      </c>
      <c r="H106" s="83">
        <v>630</v>
      </c>
      <c r="I106" s="527"/>
      <c r="J106" s="84">
        <f t="shared" si="20"/>
        <v>0</v>
      </c>
      <c r="K106" s="521"/>
      <c r="L106" s="533" t="s">
        <v>2474</v>
      </c>
      <c r="M106" s="530" t="s">
        <v>854</v>
      </c>
      <c r="N106" s="72" t="s">
        <v>861</v>
      </c>
      <c r="O106" s="73">
        <v>0.025</v>
      </c>
      <c r="P106" s="73">
        <f t="shared" si="21"/>
        <v>15.75</v>
      </c>
      <c r="Q106" s="73">
        <v>9E-05</v>
      </c>
      <c r="R106" s="73">
        <f t="shared" si="22"/>
        <v>0.0567</v>
      </c>
      <c r="S106" s="73">
        <v>0</v>
      </c>
      <c r="T106" s="74">
        <f t="shared" si="23"/>
        <v>0</v>
      </c>
      <c r="AR106" s="75" t="s">
        <v>71</v>
      </c>
      <c r="AT106" s="75" t="s">
        <v>883</v>
      </c>
      <c r="AU106" s="75" t="s">
        <v>63</v>
      </c>
      <c r="AY106" s="47" t="s">
        <v>881</v>
      </c>
      <c r="BE106" s="76">
        <f t="shared" si="24"/>
        <v>0</v>
      </c>
      <c r="BF106" s="76">
        <f t="shared" si="25"/>
        <v>0</v>
      </c>
      <c r="BG106" s="76">
        <f t="shared" si="26"/>
        <v>0</v>
      </c>
      <c r="BH106" s="76">
        <f t="shared" si="27"/>
        <v>0</v>
      </c>
      <c r="BI106" s="76">
        <f t="shared" si="28"/>
        <v>0</v>
      </c>
      <c r="BJ106" s="47" t="s">
        <v>63</v>
      </c>
      <c r="BK106" s="76">
        <f t="shared" si="29"/>
        <v>0</v>
      </c>
      <c r="BL106" s="47" t="s">
        <v>71</v>
      </c>
      <c r="BM106" s="75" t="s">
        <v>1138</v>
      </c>
    </row>
    <row r="107" spans="4:63" s="64" customFormat="1" ht="22.95" customHeight="1">
      <c r="D107" s="65" t="s">
        <v>877</v>
      </c>
      <c r="E107" s="205" t="s">
        <v>98</v>
      </c>
      <c r="F107" s="205" t="s">
        <v>1139</v>
      </c>
      <c r="J107" s="206">
        <f>BK107</f>
        <v>0</v>
      </c>
      <c r="L107" s="533" t="s">
        <v>2474</v>
      </c>
      <c r="P107" s="67">
        <f>SUM(P108:P110)</f>
        <v>4.033</v>
      </c>
      <c r="R107" s="67">
        <f>SUM(R108:R110)</f>
        <v>0.49783999999999995</v>
      </c>
      <c r="T107" s="68">
        <f>SUM(T108:T110)</f>
        <v>0</v>
      </c>
      <c r="AR107" s="65" t="s">
        <v>51</v>
      </c>
      <c r="AT107" s="69" t="s">
        <v>877</v>
      </c>
      <c r="AU107" s="69" t="s">
        <v>51</v>
      </c>
      <c r="AY107" s="65" t="s">
        <v>881</v>
      </c>
      <c r="BK107" s="70">
        <f>SUM(BK108:BK110)</f>
        <v>0</v>
      </c>
    </row>
    <row r="108" spans="3:65" s="48" customFormat="1" ht="24.15" customHeight="1">
      <c r="C108" s="79" t="s">
        <v>579</v>
      </c>
      <c r="D108" s="79" t="s">
        <v>883</v>
      </c>
      <c r="E108" s="80" t="s">
        <v>1140</v>
      </c>
      <c r="F108" s="81" t="s">
        <v>1141</v>
      </c>
      <c r="G108" s="82" t="s">
        <v>74</v>
      </c>
      <c r="H108" s="83">
        <v>1</v>
      </c>
      <c r="I108" s="527"/>
      <c r="J108" s="84">
        <f>ROUND(I108*H108,2)</f>
        <v>0</v>
      </c>
      <c r="K108" s="521"/>
      <c r="L108" s="533" t="s">
        <v>2130</v>
      </c>
      <c r="M108" s="530" t="s">
        <v>854</v>
      </c>
      <c r="N108" s="72" t="s">
        <v>861</v>
      </c>
      <c r="O108" s="73">
        <v>0.113</v>
      </c>
      <c r="P108" s="73">
        <f>O108*H108</f>
        <v>0.113</v>
      </c>
      <c r="Q108" s="73">
        <v>0.08084</v>
      </c>
      <c r="R108" s="73">
        <f>Q108*H108</f>
        <v>0.08084</v>
      </c>
      <c r="S108" s="73">
        <v>0</v>
      </c>
      <c r="T108" s="74">
        <f>S108*H108</f>
        <v>0</v>
      </c>
      <c r="AR108" s="75" t="s">
        <v>71</v>
      </c>
      <c r="AT108" s="75" t="s">
        <v>883</v>
      </c>
      <c r="AU108" s="75" t="s">
        <v>63</v>
      </c>
      <c r="AY108" s="47" t="s">
        <v>881</v>
      </c>
      <c r="BE108" s="76">
        <f>IF(N108="základní",J108,0)</f>
        <v>0</v>
      </c>
      <c r="BF108" s="76">
        <f>IF(N108="snížená",J108,0)</f>
        <v>0</v>
      </c>
      <c r="BG108" s="76">
        <f>IF(N108="zákl. přenesená",J108,0)</f>
        <v>0</v>
      </c>
      <c r="BH108" s="76">
        <f>IF(N108="sníž. přenesená",J108,0)</f>
        <v>0</v>
      </c>
      <c r="BI108" s="76">
        <f>IF(N108="nulová",J108,0)</f>
        <v>0</v>
      </c>
      <c r="BJ108" s="47" t="s">
        <v>63</v>
      </c>
      <c r="BK108" s="76">
        <f>ROUND(I108*H108,2)</f>
        <v>0</v>
      </c>
      <c r="BL108" s="47" t="s">
        <v>71</v>
      </c>
      <c r="BM108" s="75" t="s">
        <v>1142</v>
      </c>
    </row>
    <row r="109" spans="3:65" s="48" customFormat="1" ht="16.5" customHeight="1">
      <c r="C109" s="85" t="s">
        <v>567</v>
      </c>
      <c r="D109" s="85" t="s">
        <v>201</v>
      </c>
      <c r="E109" s="86" t="s">
        <v>1143</v>
      </c>
      <c r="F109" s="87" t="s">
        <v>1144</v>
      </c>
      <c r="G109" s="88" t="s">
        <v>54</v>
      </c>
      <c r="H109" s="89">
        <v>1</v>
      </c>
      <c r="I109" s="528"/>
      <c r="J109" s="90">
        <f>ROUND(I109*H109,2)</f>
        <v>0</v>
      </c>
      <c r="K109" s="522"/>
      <c r="L109" s="533" t="s">
        <v>2474</v>
      </c>
      <c r="M109" s="531" t="s">
        <v>854</v>
      </c>
      <c r="N109" s="78" t="s">
        <v>861</v>
      </c>
      <c r="O109" s="73">
        <v>0</v>
      </c>
      <c r="P109" s="73">
        <f>O109*H109</f>
        <v>0</v>
      </c>
      <c r="Q109" s="73">
        <v>0.417</v>
      </c>
      <c r="R109" s="73">
        <f>Q109*H109</f>
        <v>0.417</v>
      </c>
      <c r="S109" s="73">
        <v>0</v>
      </c>
      <c r="T109" s="74">
        <f>S109*H109</f>
        <v>0</v>
      </c>
      <c r="AR109" s="75" t="s">
        <v>94</v>
      </c>
      <c r="AT109" s="75" t="s">
        <v>201</v>
      </c>
      <c r="AU109" s="75" t="s">
        <v>63</v>
      </c>
      <c r="AY109" s="47" t="s">
        <v>881</v>
      </c>
      <c r="BE109" s="76">
        <f>IF(N109="základní",J109,0)</f>
        <v>0</v>
      </c>
      <c r="BF109" s="76">
        <f>IF(N109="snížená",J109,0)</f>
        <v>0</v>
      </c>
      <c r="BG109" s="76">
        <f>IF(N109="zákl. přenesená",J109,0)</f>
        <v>0</v>
      </c>
      <c r="BH109" s="76">
        <f>IF(N109="sníž. přenesená",J109,0)</f>
        <v>0</v>
      </c>
      <c r="BI109" s="76">
        <f>IF(N109="nulová",J109,0)</f>
        <v>0</v>
      </c>
      <c r="BJ109" s="47" t="s">
        <v>63</v>
      </c>
      <c r="BK109" s="76">
        <f>ROUND(I109*H109,2)</f>
        <v>0</v>
      </c>
      <c r="BL109" s="47" t="s">
        <v>71</v>
      </c>
      <c r="BM109" s="75" t="s">
        <v>1145</v>
      </c>
    </row>
    <row r="110" spans="3:65" s="48" customFormat="1" ht="24.15" customHeight="1">
      <c r="C110" s="79" t="s">
        <v>756</v>
      </c>
      <c r="D110" s="79" t="s">
        <v>883</v>
      </c>
      <c r="E110" s="80" t="s">
        <v>1146</v>
      </c>
      <c r="F110" s="81" t="s">
        <v>1147</v>
      </c>
      <c r="G110" s="82" t="s">
        <v>74</v>
      </c>
      <c r="H110" s="83">
        <v>20</v>
      </c>
      <c r="I110" s="527"/>
      <c r="J110" s="84">
        <f>ROUND(I110*H110,2)</f>
        <v>0</v>
      </c>
      <c r="K110" s="521"/>
      <c r="L110" s="533" t="s">
        <v>2474</v>
      </c>
      <c r="M110" s="530" t="s">
        <v>854</v>
      </c>
      <c r="N110" s="72" t="s">
        <v>861</v>
      </c>
      <c r="O110" s="73">
        <v>0.196</v>
      </c>
      <c r="P110" s="73">
        <f>O110*H110</f>
        <v>3.92</v>
      </c>
      <c r="Q110" s="73">
        <v>0</v>
      </c>
      <c r="R110" s="73">
        <f>Q110*H110</f>
        <v>0</v>
      </c>
      <c r="S110" s="73">
        <v>0</v>
      </c>
      <c r="T110" s="74">
        <f>S110*H110</f>
        <v>0</v>
      </c>
      <c r="AR110" s="75" t="s">
        <v>71</v>
      </c>
      <c r="AT110" s="75" t="s">
        <v>883</v>
      </c>
      <c r="AU110" s="75" t="s">
        <v>63</v>
      </c>
      <c r="AY110" s="47" t="s">
        <v>881</v>
      </c>
      <c r="BE110" s="76">
        <f>IF(N110="základní",J110,0)</f>
        <v>0</v>
      </c>
      <c r="BF110" s="76">
        <f>IF(N110="snížená",J110,0)</f>
        <v>0</v>
      </c>
      <c r="BG110" s="76">
        <f>IF(N110="zákl. přenesená",J110,0)</f>
        <v>0</v>
      </c>
      <c r="BH110" s="76">
        <f>IF(N110="sníž. přenesená",J110,0)</f>
        <v>0</v>
      </c>
      <c r="BI110" s="76">
        <f>IF(N110="nulová",J110,0)</f>
        <v>0</v>
      </c>
      <c r="BJ110" s="47" t="s">
        <v>63</v>
      </c>
      <c r="BK110" s="76">
        <f>ROUND(I110*H110,2)</f>
        <v>0</v>
      </c>
      <c r="BL110" s="47" t="s">
        <v>71</v>
      </c>
      <c r="BM110" s="75" t="s">
        <v>1148</v>
      </c>
    </row>
    <row r="111" spans="4:63" s="64" customFormat="1" ht="22.95" customHeight="1">
      <c r="D111" s="65" t="s">
        <v>877</v>
      </c>
      <c r="E111" s="205" t="s">
        <v>1149</v>
      </c>
      <c r="F111" s="205" t="s">
        <v>1150</v>
      </c>
      <c r="J111" s="206">
        <f>BK111</f>
        <v>0</v>
      </c>
      <c r="P111" s="67">
        <f>SUM(P112:P116)</f>
        <v>54.675</v>
      </c>
      <c r="R111" s="67">
        <f>SUM(R112:R116)</f>
        <v>0</v>
      </c>
      <c r="T111" s="68">
        <f>SUM(T112:T116)</f>
        <v>0</v>
      </c>
      <c r="AR111" s="65" t="s">
        <v>51</v>
      </c>
      <c r="AT111" s="69" t="s">
        <v>877</v>
      </c>
      <c r="AU111" s="69" t="s">
        <v>51</v>
      </c>
      <c r="AY111" s="65" t="s">
        <v>881</v>
      </c>
      <c r="BK111" s="70">
        <f>SUM(BK112:BK116)</f>
        <v>0</v>
      </c>
    </row>
    <row r="112" spans="3:65" s="48" customFormat="1" ht="16.5" customHeight="1">
      <c r="C112" s="79" t="s">
        <v>665</v>
      </c>
      <c r="D112" s="79" t="s">
        <v>883</v>
      </c>
      <c r="E112" s="80" t="s">
        <v>1151</v>
      </c>
      <c r="F112" s="81" t="s">
        <v>1152</v>
      </c>
      <c r="G112" s="82" t="s">
        <v>125</v>
      </c>
      <c r="H112" s="83">
        <v>45</v>
      </c>
      <c r="I112" s="527"/>
      <c r="J112" s="84">
        <f>ROUND(I112*H112,2)</f>
        <v>0</v>
      </c>
      <c r="K112" s="521"/>
      <c r="L112" s="533" t="s">
        <v>2474</v>
      </c>
      <c r="M112" s="530" t="s">
        <v>854</v>
      </c>
      <c r="N112" s="72" t="s">
        <v>861</v>
      </c>
      <c r="O112" s="73">
        <v>0.835</v>
      </c>
      <c r="P112" s="73">
        <f>O112*H112</f>
        <v>37.574999999999996</v>
      </c>
      <c r="Q112" s="73">
        <v>0</v>
      </c>
      <c r="R112" s="73">
        <f>Q112*H112</f>
        <v>0</v>
      </c>
      <c r="S112" s="73">
        <v>0</v>
      </c>
      <c r="T112" s="74">
        <f>S112*H112</f>
        <v>0</v>
      </c>
      <c r="AR112" s="75" t="s">
        <v>71</v>
      </c>
      <c r="AT112" s="75" t="s">
        <v>883</v>
      </c>
      <c r="AU112" s="75" t="s">
        <v>63</v>
      </c>
      <c r="AY112" s="47" t="s">
        <v>881</v>
      </c>
      <c r="BE112" s="76">
        <f>IF(N112="základní",J112,0)</f>
        <v>0</v>
      </c>
      <c r="BF112" s="76">
        <f>IF(N112="snížená",J112,0)</f>
        <v>0</v>
      </c>
      <c r="BG112" s="76">
        <f>IF(N112="zákl. přenesená",J112,0)</f>
        <v>0</v>
      </c>
      <c r="BH112" s="76">
        <f>IF(N112="sníž. přenesená",J112,0)</f>
        <v>0</v>
      </c>
      <c r="BI112" s="76">
        <f>IF(N112="nulová",J112,0)</f>
        <v>0</v>
      </c>
      <c r="BJ112" s="47" t="s">
        <v>63</v>
      </c>
      <c r="BK112" s="76">
        <f>ROUND(I112*H112,2)</f>
        <v>0</v>
      </c>
      <c r="BL112" s="47" t="s">
        <v>71</v>
      </c>
      <c r="BM112" s="75" t="s">
        <v>1153</v>
      </c>
    </row>
    <row r="113" spans="3:65" s="48" customFormat="1" ht="24.15" customHeight="1">
      <c r="C113" s="79" t="s">
        <v>288</v>
      </c>
      <c r="D113" s="79" t="s">
        <v>883</v>
      </c>
      <c r="E113" s="80" t="s">
        <v>1154</v>
      </c>
      <c r="F113" s="81" t="s">
        <v>1155</v>
      </c>
      <c r="G113" s="82" t="s">
        <v>125</v>
      </c>
      <c r="H113" s="83">
        <v>45</v>
      </c>
      <c r="I113" s="527"/>
      <c r="J113" s="84">
        <f>ROUND(I113*H113,2)</f>
        <v>0</v>
      </c>
      <c r="K113" s="521"/>
      <c r="L113" s="533" t="s">
        <v>2474</v>
      </c>
      <c r="M113" s="530" t="s">
        <v>854</v>
      </c>
      <c r="N113" s="72" t="s">
        <v>861</v>
      </c>
      <c r="O113" s="73">
        <v>0.004</v>
      </c>
      <c r="P113" s="73">
        <f>O113*H113</f>
        <v>0.18</v>
      </c>
      <c r="Q113" s="73">
        <v>0</v>
      </c>
      <c r="R113" s="73">
        <f>Q113*H113</f>
        <v>0</v>
      </c>
      <c r="S113" s="73">
        <v>0</v>
      </c>
      <c r="T113" s="74">
        <f>S113*H113</f>
        <v>0</v>
      </c>
      <c r="AR113" s="75" t="s">
        <v>71</v>
      </c>
      <c r="AT113" s="75" t="s">
        <v>883</v>
      </c>
      <c r="AU113" s="75" t="s">
        <v>63</v>
      </c>
      <c r="AY113" s="47" t="s">
        <v>881</v>
      </c>
      <c r="BE113" s="76">
        <f>IF(N113="základní",J113,0)</f>
        <v>0</v>
      </c>
      <c r="BF113" s="76">
        <f>IF(N113="snížená",J113,0)</f>
        <v>0</v>
      </c>
      <c r="BG113" s="76">
        <f>IF(N113="zákl. přenesená",J113,0)</f>
        <v>0</v>
      </c>
      <c r="BH113" s="76">
        <f>IF(N113="sníž. přenesená",J113,0)</f>
        <v>0</v>
      </c>
      <c r="BI113" s="76">
        <f>IF(N113="nulová",J113,0)</f>
        <v>0</v>
      </c>
      <c r="BJ113" s="47" t="s">
        <v>63</v>
      </c>
      <c r="BK113" s="76">
        <f>ROUND(I113*H113,2)</f>
        <v>0</v>
      </c>
      <c r="BL113" s="47" t="s">
        <v>71</v>
      </c>
      <c r="BM113" s="75" t="s">
        <v>1156</v>
      </c>
    </row>
    <row r="114" spans="3:65" s="48" customFormat="1" ht="24.15" customHeight="1">
      <c r="C114" s="79" t="s">
        <v>759</v>
      </c>
      <c r="D114" s="79" t="s">
        <v>883</v>
      </c>
      <c r="E114" s="80" t="s">
        <v>1157</v>
      </c>
      <c r="F114" s="81" t="s">
        <v>1158</v>
      </c>
      <c r="G114" s="82" t="s">
        <v>125</v>
      </c>
      <c r="H114" s="83">
        <v>45</v>
      </c>
      <c r="I114" s="527"/>
      <c r="J114" s="84">
        <f>ROUND(I114*H114,2)</f>
        <v>0</v>
      </c>
      <c r="K114" s="521"/>
      <c r="L114" s="533" t="s">
        <v>2474</v>
      </c>
      <c r="M114" s="530" t="s">
        <v>854</v>
      </c>
      <c r="N114" s="72" t="s">
        <v>861</v>
      </c>
      <c r="O114" s="73">
        <v>0.376</v>
      </c>
      <c r="P114" s="73">
        <f>O114*H114</f>
        <v>16.92</v>
      </c>
      <c r="Q114" s="73">
        <v>0</v>
      </c>
      <c r="R114" s="73">
        <f>Q114*H114</f>
        <v>0</v>
      </c>
      <c r="S114" s="73">
        <v>0</v>
      </c>
      <c r="T114" s="74">
        <f>S114*H114</f>
        <v>0</v>
      </c>
      <c r="AR114" s="75" t="s">
        <v>71</v>
      </c>
      <c r="AT114" s="75" t="s">
        <v>883</v>
      </c>
      <c r="AU114" s="75" t="s">
        <v>63</v>
      </c>
      <c r="AY114" s="47" t="s">
        <v>881</v>
      </c>
      <c r="BE114" s="76">
        <f>IF(N114="základní",J114,0)</f>
        <v>0</v>
      </c>
      <c r="BF114" s="76">
        <f>IF(N114="snížená",J114,0)</f>
        <v>0</v>
      </c>
      <c r="BG114" s="76">
        <f>IF(N114="zákl. přenesená",J114,0)</f>
        <v>0</v>
      </c>
      <c r="BH114" s="76">
        <f>IF(N114="sníž. přenesená",J114,0)</f>
        <v>0</v>
      </c>
      <c r="BI114" s="76">
        <f>IF(N114="nulová",J114,0)</f>
        <v>0</v>
      </c>
      <c r="BJ114" s="47" t="s">
        <v>63</v>
      </c>
      <c r="BK114" s="76">
        <f>ROUND(I114*H114,2)</f>
        <v>0</v>
      </c>
      <c r="BL114" s="47" t="s">
        <v>71</v>
      </c>
      <c r="BM114" s="75" t="s">
        <v>1159</v>
      </c>
    </row>
    <row r="115" spans="3:65" s="48" customFormat="1" ht="33" customHeight="1">
      <c r="C115" s="79" t="s">
        <v>294</v>
      </c>
      <c r="D115" s="79" t="s">
        <v>883</v>
      </c>
      <c r="E115" s="80" t="s">
        <v>1160</v>
      </c>
      <c r="F115" s="81" t="s">
        <v>1161</v>
      </c>
      <c r="G115" s="82" t="s">
        <v>125</v>
      </c>
      <c r="H115" s="83">
        <v>4.5</v>
      </c>
      <c r="I115" s="527"/>
      <c r="J115" s="84">
        <f>ROUND(I115*H115,2)</f>
        <v>0</v>
      </c>
      <c r="K115" s="521"/>
      <c r="L115" s="533" t="s">
        <v>2474</v>
      </c>
      <c r="M115" s="530" t="s">
        <v>854</v>
      </c>
      <c r="N115" s="72" t="s">
        <v>861</v>
      </c>
      <c r="O115" s="73">
        <v>0</v>
      </c>
      <c r="P115" s="73">
        <f>O115*H115</f>
        <v>0</v>
      </c>
      <c r="Q115" s="73">
        <v>0</v>
      </c>
      <c r="R115" s="73">
        <f>Q115*H115</f>
        <v>0</v>
      </c>
      <c r="S115" s="73">
        <v>0</v>
      </c>
      <c r="T115" s="74">
        <f>S115*H115</f>
        <v>0</v>
      </c>
      <c r="AR115" s="75" t="s">
        <v>71</v>
      </c>
      <c r="AT115" s="75" t="s">
        <v>883</v>
      </c>
      <c r="AU115" s="75" t="s">
        <v>63</v>
      </c>
      <c r="AY115" s="47" t="s">
        <v>881</v>
      </c>
      <c r="BE115" s="76">
        <f>IF(N115="základní",J115,0)</f>
        <v>0</v>
      </c>
      <c r="BF115" s="76">
        <f>IF(N115="snížená",J115,0)</f>
        <v>0</v>
      </c>
      <c r="BG115" s="76">
        <f>IF(N115="zákl. přenesená",J115,0)</f>
        <v>0</v>
      </c>
      <c r="BH115" s="76">
        <f>IF(N115="sníž. přenesená",J115,0)</f>
        <v>0</v>
      </c>
      <c r="BI115" s="76">
        <f>IF(N115="nulová",J115,0)</f>
        <v>0</v>
      </c>
      <c r="BJ115" s="47" t="s">
        <v>63</v>
      </c>
      <c r="BK115" s="76">
        <f>ROUND(I115*H115,2)</f>
        <v>0</v>
      </c>
      <c r="BL115" s="47" t="s">
        <v>71</v>
      </c>
      <c r="BM115" s="75" t="s">
        <v>1162</v>
      </c>
    </row>
    <row r="116" spans="3:65" s="48" customFormat="1" ht="24.15" customHeight="1">
      <c r="C116" s="79" t="s">
        <v>763</v>
      </c>
      <c r="D116" s="79" t="s">
        <v>883</v>
      </c>
      <c r="E116" s="80" t="s">
        <v>1163</v>
      </c>
      <c r="F116" s="81" t="s">
        <v>915</v>
      </c>
      <c r="G116" s="82" t="s">
        <v>125</v>
      </c>
      <c r="H116" s="83">
        <v>40.5</v>
      </c>
      <c r="I116" s="527"/>
      <c r="J116" s="84">
        <f>ROUND(I116*H116,2)</f>
        <v>0</v>
      </c>
      <c r="K116" s="521"/>
      <c r="L116" s="533" t="s">
        <v>2474</v>
      </c>
      <c r="M116" s="530" t="s">
        <v>854</v>
      </c>
      <c r="N116" s="72" t="s">
        <v>861</v>
      </c>
      <c r="O116" s="73">
        <v>0</v>
      </c>
      <c r="P116" s="73">
        <f>O116*H116</f>
        <v>0</v>
      </c>
      <c r="Q116" s="73">
        <v>0</v>
      </c>
      <c r="R116" s="73">
        <f>Q116*H116</f>
        <v>0</v>
      </c>
      <c r="S116" s="73">
        <v>0</v>
      </c>
      <c r="T116" s="74">
        <f>S116*H116</f>
        <v>0</v>
      </c>
      <c r="AR116" s="75" t="s">
        <v>71</v>
      </c>
      <c r="AT116" s="75" t="s">
        <v>883</v>
      </c>
      <c r="AU116" s="75" t="s">
        <v>63</v>
      </c>
      <c r="AY116" s="47" t="s">
        <v>881</v>
      </c>
      <c r="BE116" s="76">
        <f>IF(N116="základní",J116,0)</f>
        <v>0</v>
      </c>
      <c r="BF116" s="76">
        <f>IF(N116="snížená",J116,0)</f>
        <v>0</v>
      </c>
      <c r="BG116" s="76">
        <f>IF(N116="zákl. přenesená",J116,0)</f>
        <v>0</v>
      </c>
      <c r="BH116" s="76">
        <f>IF(N116="sníž. přenesená",J116,0)</f>
        <v>0</v>
      </c>
      <c r="BI116" s="76">
        <f>IF(N116="nulová",J116,0)</f>
        <v>0</v>
      </c>
      <c r="BJ116" s="47" t="s">
        <v>63</v>
      </c>
      <c r="BK116" s="76">
        <f>ROUND(I116*H116,2)</f>
        <v>0</v>
      </c>
      <c r="BL116" s="47" t="s">
        <v>71</v>
      </c>
      <c r="BM116" s="75" t="s">
        <v>1164</v>
      </c>
    </row>
    <row r="117" spans="4:63" s="64" customFormat="1" ht="22.95" customHeight="1">
      <c r="D117" s="65" t="s">
        <v>877</v>
      </c>
      <c r="E117" s="205" t="s">
        <v>1165</v>
      </c>
      <c r="F117" s="205" t="s">
        <v>1166</v>
      </c>
      <c r="J117" s="206">
        <f>BK117</f>
        <v>0</v>
      </c>
      <c r="P117" s="67">
        <f>P118</f>
        <v>225.466884</v>
      </c>
      <c r="R117" s="67">
        <f>R118</f>
        <v>0</v>
      </c>
      <c r="T117" s="68">
        <f>T118</f>
        <v>0</v>
      </c>
      <c r="AR117" s="65" t="s">
        <v>51</v>
      </c>
      <c r="AT117" s="69" t="s">
        <v>877</v>
      </c>
      <c r="AU117" s="69" t="s">
        <v>51</v>
      </c>
      <c r="AY117" s="65" t="s">
        <v>881</v>
      </c>
      <c r="BK117" s="70">
        <f>BK118</f>
        <v>0</v>
      </c>
    </row>
    <row r="118" spans="3:65" s="48" customFormat="1" ht="24.15" customHeight="1">
      <c r="C118" s="79" t="s">
        <v>765</v>
      </c>
      <c r="D118" s="79" t="s">
        <v>883</v>
      </c>
      <c r="E118" s="80" t="s">
        <v>1167</v>
      </c>
      <c r="F118" s="81" t="s">
        <v>1168</v>
      </c>
      <c r="G118" s="82" t="s">
        <v>125</v>
      </c>
      <c r="H118" s="83">
        <v>272.303</v>
      </c>
      <c r="I118" s="527"/>
      <c r="J118" s="84">
        <f>ROUND(I118*H118,2)</f>
        <v>0</v>
      </c>
      <c r="K118" s="521"/>
      <c r="L118" s="533" t="s">
        <v>2474</v>
      </c>
      <c r="M118" s="530" t="s">
        <v>854</v>
      </c>
      <c r="N118" s="72" t="s">
        <v>861</v>
      </c>
      <c r="O118" s="73">
        <v>0.828</v>
      </c>
      <c r="P118" s="73">
        <f>O118*H118</f>
        <v>225.466884</v>
      </c>
      <c r="Q118" s="73">
        <v>0</v>
      </c>
      <c r="R118" s="73">
        <f>Q118*H118</f>
        <v>0</v>
      </c>
      <c r="S118" s="73">
        <v>0</v>
      </c>
      <c r="T118" s="74">
        <f>S118*H118</f>
        <v>0</v>
      </c>
      <c r="AR118" s="75" t="s">
        <v>71</v>
      </c>
      <c r="AT118" s="75" t="s">
        <v>883</v>
      </c>
      <c r="AU118" s="75" t="s">
        <v>63</v>
      </c>
      <c r="AY118" s="47" t="s">
        <v>881</v>
      </c>
      <c r="BE118" s="76">
        <f>IF(N118="základní",J118,0)</f>
        <v>0</v>
      </c>
      <c r="BF118" s="76">
        <f>IF(N118="snížená",J118,0)</f>
        <v>0</v>
      </c>
      <c r="BG118" s="76">
        <f>IF(N118="zákl. přenesená",J118,0)</f>
        <v>0</v>
      </c>
      <c r="BH118" s="76">
        <f>IF(N118="sníž. přenesená",J118,0)</f>
        <v>0</v>
      </c>
      <c r="BI118" s="76">
        <f>IF(N118="nulová",J118,0)</f>
        <v>0</v>
      </c>
      <c r="BJ118" s="47" t="s">
        <v>63</v>
      </c>
      <c r="BK118" s="76">
        <f>ROUND(I118*H118,2)</f>
        <v>0</v>
      </c>
      <c r="BL118" s="47" t="s">
        <v>71</v>
      </c>
      <c r="BM118" s="75" t="s">
        <v>1169</v>
      </c>
    </row>
    <row r="119" spans="4:63" s="64" customFormat="1" ht="25.95" customHeight="1">
      <c r="D119" s="65" t="s">
        <v>877</v>
      </c>
      <c r="E119" s="203" t="s">
        <v>1170</v>
      </c>
      <c r="F119" s="203" t="s">
        <v>1171</v>
      </c>
      <c r="J119" s="204">
        <f>BK119</f>
        <v>0</v>
      </c>
      <c r="P119" s="67">
        <f>P120+P124</f>
        <v>0</v>
      </c>
      <c r="R119" s="67">
        <f>R120+R124</f>
        <v>0</v>
      </c>
      <c r="T119" s="68">
        <f>T120+T124</f>
        <v>0</v>
      </c>
      <c r="AR119" s="65" t="s">
        <v>78</v>
      </c>
      <c r="AT119" s="69" t="s">
        <v>877</v>
      </c>
      <c r="AU119" s="69" t="s">
        <v>880</v>
      </c>
      <c r="AY119" s="65" t="s">
        <v>881</v>
      </c>
      <c r="BK119" s="70">
        <f>BK120+BK124</f>
        <v>0</v>
      </c>
    </row>
    <row r="120" spans="4:63" s="64" customFormat="1" ht="22.95" customHeight="1">
      <c r="D120" s="65" t="s">
        <v>877</v>
      </c>
      <c r="E120" s="205" t="s">
        <v>1172</v>
      </c>
      <c r="F120" s="205" t="s">
        <v>1173</v>
      </c>
      <c r="J120" s="206">
        <f>BK120</f>
        <v>0</v>
      </c>
      <c r="P120" s="67">
        <f>SUM(P121:P123)</f>
        <v>0</v>
      </c>
      <c r="R120" s="67">
        <f>SUM(R121:R123)</f>
        <v>0</v>
      </c>
      <c r="T120" s="68">
        <f>SUM(T121:T123)</f>
        <v>0</v>
      </c>
      <c r="AR120" s="65" t="s">
        <v>78</v>
      </c>
      <c r="AT120" s="69" t="s">
        <v>877</v>
      </c>
      <c r="AU120" s="69" t="s">
        <v>51</v>
      </c>
      <c r="AY120" s="65" t="s">
        <v>881</v>
      </c>
      <c r="BK120" s="70">
        <f>SUM(BK121:BK123)</f>
        <v>0</v>
      </c>
    </row>
    <row r="121" spans="3:65" s="48" customFormat="1" ht="24.15" customHeight="1">
      <c r="C121" s="79" t="s">
        <v>768</v>
      </c>
      <c r="D121" s="79" t="s">
        <v>883</v>
      </c>
      <c r="E121" s="80" t="s">
        <v>1174</v>
      </c>
      <c r="F121" s="81" t="s">
        <v>1175</v>
      </c>
      <c r="G121" s="82" t="s">
        <v>1134</v>
      </c>
      <c r="H121" s="83">
        <v>1</v>
      </c>
      <c r="I121" s="527"/>
      <c r="J121" s="84">
        <f>ROUND(I121*H121,2)</f>
        <v>0</v>
      </c>
      <c r="K121" s="521"/>
      <c r="L121" s="533" t="s">
        <v>2474</v>
      </c>
      <c r="M121" s="530" t="s">
        <v>854</v>
      </c>
      <c r="N121" s="72" t="s">
        <v>861</v>
      </c>
      <c r="O121" s="73">
        <v>0</v>
      </c>
      <c r="P121" s="73">
        <f>O121*H121</f>
        <v>0</v>
      </c>
      <c r="Q121" s="73">
        <v>0</v>
      </c>
      <c r="R121" s="73">
        <f>Q121*H121</f>
        <v>0</v>
      </c>
      <c r="S121" s="73">
        <v>0</v>
      </c>
      <c r="T121" s="74">
        <f>S121*H121</f>
        <v>0</v>
      </c>
      <c r="AR121" s="75" t="s">
        <v>1176</v>
      </c>
      <c r="AT121" s="75" t="s">
        <v>883</v>
      </c>
      <c r="AU121" s="75" t="s">
        <v>63</v>
      </c>
      <c r="AY121" s="47" t="s">
        <v>881</v>
      </c>
      <c r="BE121" s="76">
        <f>IF(N121="základní",J121,0)</f>
        <v>0</v>
      </c>
      <c r="BF121" s="76">
        <f>IF(N121="snížená",J121,0)</f>
        <v>0</v>
      </c>
      <c r="BG121" s="76">
        <f>IF(N121="zákl. přenesená",J121,0)</f>
        <v>0</v>
      </c>
      <c r="BH121" s="76">
        <f>IF(N121="sníž. přenesená",J121,0)</f>
        <v>0</v>
      </c>
      <c r="BI121" s="76">
        <f>IF(N121="nulová",J121,0)</f>
        <v>0</v>
      </c>
      <c r="BJ121" s="47" t="s">
        <v>63</v>
      </c>
      <c r="BK121" s="76">
        <f>ROUND(I121*H121,2)</f>
        <v>0</v>
      </c>
      <c r="BL121" s="47" t="s">
        <v>1176</v>
      </c>
      <c r="BM121" s="75" t="s">
        <v>1177</v>
      </c>
    </row>
    <row r="122" spans="3:65" s="48" customFormat="1" ht="21.75" customHeight="1">
      <c r="C122" s="79" t="s">
        <v>695</v>
      </c>
      <c r="D122" s="79" t="s">
        <v>883</v>
      </c>
      <c r="E122" s="80" t="s">
        <v>1178</v>
      </c>
      <c r="F122" s="81" t="s">
        <v>1179</v>
      </c>
      <c r="G122" s="82" t="s">
        <v>1134</v>
      </c>
      <c r="H122" s="83">
        <v>1</v>
      </c>
      <c r="I122" s="527"/>
      <c r="J122" s="84">
        <f>ROUND(I122*H122,2)</f>
        <v>0</v>
      </c>
      <c r="K122" s="521"/>
      <c r="L122" s="533" t="s">
        <v>2474</v>
      </c>
      <c r="M122" s="530" t="s">
        <v>854</v>
      </c>
      <c r="N122" s="72" t="s">
        <v>861</v>
      </c>
      <c r="O122" s="73">
        <v>0</v>
      </c>
      <c r="P122" s="73">
        <f>O122*H122</f>
        <v>0</v>
      </c>
      <c r="Q122" s="73">
        <v>0</v>
      </c>
      <c r="R122" s="73">
        <f>Q122*H122</f>
        <v>0</v>
      </c>
      <c r="S122" s="73">
        <v>0</v>
      </c>
      <c r="T122" s="74">
        <f>S122*H122</f>
        <v>0</v>
      </c>
      <c r="AR122" s="75" t="s">
        <v>1176</v>
      </c>
      <c r="AT122" s="75" t="s">
        <v>883</v>
      </c>
      <c r="AU122" s="75" t="s">
        <v>63</v>
      </c>
      <c r="AY122" s="47" t="s">
        <v>881</v>
      </c>
      <c r="BE122" s="76">
        <f>IF(N122="základní",J122,0)</f>
        <v>0</v>
      </c>
      <c r="BF122" s="76">
        <f>IF(N122="snížená",J122,0)</f>
        <v>0</v>
      </c>
      <c r="BG122" s="76">
        <f>IF(N122="zákl. přenesená",J122,0)</f>
        <v>0</v>
      </c>
      <c r="BH122" s="76">
        <f>IF(N122="sníž. přenesená",J122,0)</f>
        <v>0</v>
      </c>
      <c r="BI122" s="76">
        <f>IF(N122="nulová",J122,0)</f>
        <v>0</v>
      </c>
      <c r="BJ122" s="47" t="s">
        <v>63</v>
      </c>
      <c r="BK122" s="76">
        <f>ROUND(I122*H122,2)</f>
        <v>0</v>
      </c>
      <c r="BL122" s="47" t="s">
        <v>1176</v>
      </c>
      <c r="BM122" s="75" t="s">
        <v>1180</v>
      </c>
    </row>
    <row r="123" spans="3:65" s="48" customFormat="1" ht="16.5" customHeight="1">
      <c r="C123" s="79" t="s">
        <v>774</v>
      </c>
      <c r="D123" s="79" t="s">
        <v>883</v>
      </c>
      <c r="E123" s="80" t="s">
        <v>1181</v>
      </c>
      <c r="F123" s="81" t="s">
        <v>1182</v>
      </c>
      <c r="G123" s="82" t="s">
        <v>1134</v>
      </c>
      <c r="H123" s="83">
        <v>1</v>
      </c>
      <c r="I123" s="527"/>
      <c r="J123" s="84">
        <f>ROUND(I123*H123,2)</f>
        <v>0</v>
      </c>
      <c r="K123" s="521"/>
      <c r="L123" s="533" t="s">
        <v>2474</v>
      </c>
      <c r="M123" s="530" t="s">
        <v>854</v>
      </c>
      <c r="N123" s="72" t="s">
        <v>861</v>
      </c>
      <c r="O123" s="73">
        <v>0</v>
      </c>
      <c r="P123" s="73">
        <f>O123*H123</f>
        <v>0</v>
      </c>
      <c r="Q123" s="73">
        <v>0</v>
      </c>
      <c r="R123" s="73">
        <f>Q123*H123</f>
        <v>0</v>
      </c>
      <c r="S123" s="73">
        <v>0</v>
      </c>
      <c r="T123" s="74">
        <f>S123*H123</f>
        <v>0</v>
      </c>
      <c r="AR123" s="75" t="s">
        <v>1176</v>
      </c>
      <c r="AT123" s="75" t="s">
        <v>883</v>
      </c>
      <c r="AU123" s="75" t="s">
        <v>63</v>
      </c>
      <c r="AY123" s="47" t="s">
        <v>881</v>
      </c>
      <c r="BE123" s="76">
        <f>IF(N123="základní",J123,0)</f>
        <v>0</v>
      </c>
      <c r="BF123" s="76">
        <f>IF(N123="snížená",J123,0)</f>
        <v>0</v>
      </c>
      <c r="BG123" s="76">
        <f>IF(N123="zákl. přenesená",J123,0)</f>
        <v>0</v>
      </c>
      <c r="BH123" s="76">
        <f>IF(N123="sníž. přenesená",J123,0)</f>
        <v>0</v>
      </c>
      <c r="BI123" s="76">
        <f>IF(N123="nulová",J123,0)</f>
        <v>0</v>
      </c>
      <c r="BJ123" s="47" t="s">
        <v>63</v>
      </c>
      <c r="BK123" s="76">
        <f>ROUND(I123*H123,2)</f>
        <v>0</v>
      </c>
      <c r="BL123" s="47" t="s">
        <v>1176</v>
      </c>
      <c r="BM123" s="75" t="s">
        <v>1183</v>
      </c>
    </row>
    <row r="124" spans="4:63" s="64" customFormat="1" ht="22.95" customHeight="1">
      <c r="D124" s="65" t="s">
        <v>877</v>
      </c>
      <c r="E124" s="205" t="s">
        <v>1184</v>
      </c>
      <c r="F124" s="205" t="s">
        <v>1185</v>
      </c>
      <c r="J124" s="206">
        <f>BK124</f>
        <v>0</v>
      </c>
      <c r="P124" s="67">
        <f>SUM(P125:P126)</f>
        <v>0</v>
      </c>
      <c r="R124" s="67">
        <f>SUM(R125:R126)</f>
        <v>0</v>
      </c>
      <c r="T124" s="68">
        <f>SUM(T125:T126)</f>
        <v>0</v>
      </c>
      <c r="AR124" s="65" t="s">
        <v>78</v>
      </c>
      <c r="AT124" s="69" t="s">
        <v>877</v>
      </c>
      <c r="AU124" s="69" t="s">
        <v>51</v>
      </c>
      <c r="AY124" s="65" t="s">
        <v>881</v>
      </c>
      <c r="BK124" s="70">
        <f>SUM(BK125:BK126)</f>
        <v>0</v>
      </c>
    </row>
    <row r="125" spans="3:65" s="48" customFormat="1" ht="24.15" customHeight="1">
      <c r="C125" s="79" t="s">
        <v>367</v>
      </c>
      <c r="D125" s="79" t="s">
        <v>883</v>
      </c>
      <c r="E125" s="80" t="s">
        <v>1186</v>
      </c>
      <c r="F125" s="81" t="s">
        <v>1187</v>
      </c>
      <c r="G125" s="82" t="s">
        <v>1134</v>
      </c>
      <c r="H125" s="83">
        <v>1</v>
      </c>
      <c r="I125" s="527"/>
      <c r="J125" s="84">
        <f>ROUND(I125*H125,2)</f>
        <v>0</v>
      </c>
      <c r="K125" s="521"/>
      <c r="L125" s="533" t="s">
        <v>2474</v>
      </c>
      <c r="M125" s="530" t="s">
        <v>854</v>
      </c>
      <c r="N125" s="72" t="s">
        <v>861</v>
      </c>
      <c r="O125" s="73">
        <v>0</v>
      </c>
      <c r="P125" s="73">
        <f>O125*H125</f>
        <v>0</v>
      </c>
      <c r="Q125" s="73">
        <v>0</v>
      </c>
      <c r="R125" s="73">
        <f>Q125*H125</f>
        <v>0</v>
      </c>
      <c r="S125" s="73">
        <v>0</v>
      </c>
      <c r="T125" s="74">
        <f>S125*H125</f>
        <v>0</v>
      </c>
      <c r="AR125" s="75" t="s">
        <v>1176</v>
      </c>
      <c r="AT125" s="75" t="s">
        <v>883</v>
      </c>
      <c r="AU125" s="75" t="s">
        <v>63</v>
      </c>
      <c r="AY125" s="47" t="s">
        <v>881</v>
      </c>
      <c r="BE125" s="76">
        <f>IF(N125="základní",J125,0)</f>
        <v>0</v>
      </c>
      <c r="BF125" s="76">
        <f>IF(N125="snížená",J125,0)</f>
        <v>0</v>
      </c>
      <c r="BG125" s="76">
        <f>IF(N125="zákl. přenesená",J125,0)</f>
        <v>0</v>
      </c>
      <c r="BH125" s="76">
        <f>IF(N125="sníž. přenesená",J125,0)</f>
        <v>0</v>
      </c>
      <c r="BI125" s="76">
        <f>IF(N125="nulová",J125,0)</f>
        <v>0</v>
      </c>
      <c r="BJ125" s="47" t="s">
        <v>63</v>
      </c>
      <c r="BK125" s="76">
        <f>ROUND(I125*H125,2)</f>
        <v>0</v>
      </c>
      <c r="BL125" s="47" t="s">
        <v>1176</v>
      </c>
      <c r="BM125" s="75" t="s">
        <v>1188</v>
      </c>
    </row>
    <row r="126" spans="3:65" s="48" customFormat="1" ht="24.15" customHeight="1">
      <c r="C126" s="79" t="s">
        <v>779</v>
      </c>
      <c r="D126" s="79" t="s">
        <v>883</v>
      </c>
      <c r="E126" s="80" t="s">
        <v>1189</v>
      </c>
      <c r="F126" s="81" t="s">
        <v>1190</v>
      </c>
      <c r="G126" s="82" t="s">
        <v>1134</v>
      </c>
      <c r="H126" s="83">
        <v>1</v>
      </c>
      <c r="I126" s="527"/>
      <c r="J126" s="84">
        <f>ROUND(I126*H126,2)</f>
        <v>0</v>
      </c>
      <c r="K126" s="521"/>
      <c r="L126" s="533" t="s">
        <v>2474</v>
      </c>
      <c r="M126" s="532" t="s">
        <v>854</v>
      </c>
      <c r="N126" s="92" t="s">
        <v>861</v>
      </c>
      <c r="O126" s="93">
        <v>0</v>
      </c>
      <c r="P126" s="93">
        <f>O126*H126</f>
        <v>0</v>
      </c>
      <c r="Q126" s="93">
        <v>0</v>
      </c>
      <c r="R126" s="93">
        <f>Q126*H126</f>
        <v>0</v>
      </c>
      <c r="S126" s="93">
        <v>0</v>
      </c>
      <c r="T126" s="94">
        <f>S126*H126</f>
        <v>0</v>
      </c>
      <c r="AR126" s="75" t="s">
        <v>1176</v>
      </c>
      <c r="AT126" s="75" t="s">
        <v>883</v>
      </c>
      <c r="AU126" s="75" t="s">
        <v>63</v>
      </c>
      <c r="AY126" s="47" t="s">
        <v>881</v>
      </c>
      <c r="BE126" s="76">
        <f>IF(N126="základní",J126,0)</f>
        <v>0</v>
      </c>
      <c r="BF126" s="76">
        <f>IF(N126="snížená",J126,0)</f>
        <v>0</v>
      </c>
      <c r="BG126" s="76">
        <f>IF(N126="zákl. přenesená",J126,0)</f>
        <v>0</v>
      </c>
      <c r="BH126" s="76">
        <f>IF(N126="sníž. přenesená",J126,0)</f>
        <v>0</v>
      </c>
      <c r="BI126" s="76">
        <f>IF(N126="nulová",J126,0)</f>
        <v>0</v>
      </c>
      <c r="BJ126" s="47" t="s">
        <v>63</v>
      </c>
      <c r="BK126" s="76">
        <f>ROUND(I126*H126,2)</f>
        <v>0</v>
      </c>
      <c r="BL126" s="47" t="s">
        <v>1176</v>
      </c>
      <c r="BM126" s="75" t="s">
        <v>1191</v>
      </c>
    </row>
    <row r="127" s="48" customFormat="1" ht="6.9" customHeight="1">
      <c r="K127" s="50"/>
    </row>
  </sheetData>
  <sheetProtection algorithmName="SHA-512" hashValue="ShQk0QckLId5r4mGdNQ/yDLAkcQfgSLkL66w5kekdr4nmue0WULoTkG+HYcrXVTTj3OdKAv1L9Hs5ZWMycnlwA==" saltValue="mxDCwBb/zyeuN4MId9AmOw==" spinCount="100000" sheet="1" objects="1" scenarios="1"/>
  <mergeCells count="2">
    <mergeCell ref="E7:H7"/>
    <mergeCell ref="E9:H9"/>
  </mergeCells>
  <printOptions horizontalCentered="1"/>
  <pageMargins left="0.7086614173228347" right="0.7086614173228347" top="0.7874015748031497" bottom="0.7874015748031497" header="0.31496062992125984" footer="0.31496062992125984"/>
  <pageSetup fitToHeight="100" fitToWidth="1" horizontalDpi="600" verticalDpi="600" orientation="portrait" paperSize="9" scale="74" r:id="rId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3D1D0-D305-442E-B7B8-422ADBE336FD}">
  <sheetPr>
    <pageSetUpPr fitToPage="1"/>
  </sheetPr>
  <dimension ref="C2:BM66"/>
  <sheetViews>
    <sheetView showGridLines="0" view="pageBreakPreview" zoomScaleSheetLayoutView="100" workbookViewId="0" topLeftCell="A1">
      <selection activeCell="F56" sqref="F56"/>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9.42187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104" width="9.140625" style="0" hidden="1" customWidth="1"/>
    <col min="105" max="105" width="0.5625" style="0"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1297</v>
      </c>
      <c r="F6" s="646"/>
      <c r="G6" s="646"/>
      <c r="H6" s="646"/>
    </row>
    <row r="7" s="48" customFormat="1" ht="12" customHeight="1">
      <c r="C7" s="197" t="s">
        <v>852</v>
      </c>
    </row>
    <row r="8" spans="5:8" s="48" customFormat="1" ht="30" customHeight="1">
      <c r="E8" s="647" t="s">
        <v>1193</v>
      </c>
      <c r="F8" s="648"/>
      <c r="G8" s="648"/>
      <c r="H8" s="648"/>
    </row>
    <row r="9" s="48" customFormat="1" ht="6.9" customHeight="1"/>
    <row r="10" spans="3:10" s="48" customFormat="1" ht="12" customHeight="1">
      <c r="C10" s="197" t="s">
        <v>855</v>
      </c>
      <c r="F10" s="198"/>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35"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P17+P59</f>
        <v>7045.219883000001</v>
      </c>
      <c r="Q16" s="49"/>
      <c r="R16" s="61">
        <f>R17+R59</f>
        <v>409.10275</v>
      </c>
      <c r="S16" s="49"/>
      <c r="T16" s="62">
        <f>T17+T59</f>
        <v>0</v>
      </c>
      <c r="AT16" s="47" t="s">
        <v>877</v>
      </c>
      <c r="AU16" s="47" t="s">
        <v>863</v>
      </c>
      <c r="BK16" s="63">
        <f>BK17+BK59</f>
        <v>0</v>
      </c>
    </row>
    <row r="17" spans="4:63" s="64" customFormat="1" ht="25.95" customHeight="1">
      <c r="D17" s="65" t="s">
        <v>877</v>
      </c>
      <c r="E17" s="203" t="s">
        <v>878</v>
      </c>
      <c r="F17" s="203" t="s">
        <v>879</v>
      </c>
      <c r="J17" s="204">
        <f>BK17</f>
        <v>0</v>
      </c>
      <c r="P17" s="67">
        <f>P18+P31+P33+P37+P57</f>
        <v>7045.219883000001</v>
      </c>
      <c r="R17" s="67">
        <f>R18+R31+R33+R37+R57</f>
        <v>409.10275</v>
      </c>
      <c r="T17" s="68">
        <f>T18+T31+T33+T37+T57</f>
        <v>0</v>
      </c>
      <c r="AR17" s="65" t="s">
        <v>51</v>
      </c>
      <c r="AT17" s="69" t="s">
        <v>877</v>
      </c>
      <c r="AU17" s="69" t="s">
        <v>880</v>
      </c>
      <c r="AY17" s="65" t="s">
        <v>881</v>
      </c>
      <c r="BK17" s="70">
        <f>BK18+BK31+BK33+BK37+BK57</f>
        <v>0</v>
      </c>
    </row>
    <row r="18" spans="4:63" s="64" customFormat="1" ht="22.95" customHeight="1">
      <c r="D18" s="65" t="s">
        <v>877</v>
      </c>
      <c r="E18" s="205" t="s">
        <v>51</v>
      </c>
      <c r="F18" s="205" t="s">
        <v>882</v>
      </c>
      <c r="J18" s="206">
        <f>BK18</f>
        <v>0</v>
      </c>
      <c r="P18" s="67">
        <f>SUM(P19:P30)</f>
        <v>5804.5514</v>
      </c>
      <c r="R18" s="67">
        <f>SUM(R19:R30)</f>
        <v>227.31195</v>
      </c>
      <c r="T18" s="68">
        <f>SUM(T19:T30)</f>
        <v>0</v>
      </c>
      <c r="AR18" s="65" t="s">
        <v>51</v>
      </c>
      <c r="AT18" s="69" t="s">
        <v>877</v>
      </c>
      <c r="AU18" s="69" t="s">
        <v>51</v>
      </c>
      <c r="AY18" s="65" t="s">
        <v>881</v>
      </c>
      <c r="BK18" s="70">
        <f>SUM(BK19:BK30)</f>
        <v>0</v>
      </c>
    </row>
    <row r="19" spans="3:65" s="48" customFormat="1" ht="24.15" customHeight="1">
      <c r="C19" s="79" t="s">
        <v>51</v>
      </c>
      <c r="D19" s="79" t="s">
        <v>883</v>
      </c>
      <c r="E19" s="80" t="s">
        <v>1194</v>
      </c>
      <c r="F19" s="81" t="s">
        <v>1195</v>
      </c>
      <c r="G19" s="82" t="s">
        <v>1196</v>
      </c>
      <c r="H19" s="83">
        <v>315</v>
      </c>
      <c r="I19" s="527"/>
      <c r="J19" s="84">
        <f aca="true" t="shared" si="0" ref="J19:J30">ROUND(I19*H19,2)</f>
        <v>0</v>
      </c>
      <c r="K19" s="521"/>
      <c r="L19" s="533" t="s">
        <v>2474</v>
      </c>
      <c r="M19" s="530" t="s">
        <v>854</v>
      </c>
      <c r="N19" s="72" t="s">
        <v>860</v>
      </c>
      <c r="O19" s="73">
        <v>0.184</v>
      </c>
      <c r="P19" s="73">
        <f aca="true" t="shared" si="1" ref="P19:P30">O19*H19</f>
        <v>57.96</v>
      </c>
      <c r="Q19" s="73">
        <v>3E-05</v>
      </c>
      <c r="R19" s="73">
        <f aca="true" t="shared" si="2" ref="R19:R30">Q19*H19</f>
        <v>0.00945</v>
      </c>
      <c r="S19" s="73">
        <v>0</v>
      </c>
      <c r="T19" s="74">
        <f aca="true" t="shared" si="3" ref="T19:T30">S19*H19</f>
        <v>0</v>
      </c>
      <c r="AR19" s="75" t="s">
        <v>71</v>
      </c>
      <c r="AT19" s="75" t="s">
        <v>883</v>
      </c>
      <c r="AU19" s="75" t="s">
        <v>63</v>
      </c>
      <c r="AY19" s="47" t="s">
        <v>881</v>
      </c>
      <c r="BE19" s="76">
        <f aca="true" t="shared" si="4" ref="BE19:BE30">IF(N19="základní",J19,0)</f>
        <v>0</v>
      </c>
      <c r="BF19" s="76">
        <f aca="true" t="shared" si="5" ref="BF19:BF30">IF(N19="snížená",J19,0)</f>
        <v>0</v>
      </c>
      <c r="BG19" s="76">
        <f aca="true" t="shared" si="6" ref="BG19:BG30">IF(N19="zákl. přenesená",J19,0)</f>
        <v>0</v>
      </c>
      <c r="BH19" s="76">
        <f aca="true" t="shared" si="7" ref="BH19:BH30">IF(N19="sníž. přenesená",J19,0)</f>
        <v>0</v>
      </c>
      <c r="BI19" s="76">
        <f aca="true" t="shared" si="8" ref="BI19:BI30">IF(N19="nulová",J19,0)</f>
        <v>0</v>
      </c>
      <c r="BJ19" s="47" t="s">
        <v>51</v>
      </c>
      <c r="BK19" s="76">
        <f aca="true" t="shared" si="9" ref="BK19:BK30">ROUND(I19*H19,2)</f>
        <v>0</v>
      </c>
      <c r="BL19" s="47" t="s">
        <v>71</v>
      </c>
      <c r="BM19" s="75" t="s">
        <v>1197</v>
      </c>
    </row>
    <row r="20" spans="3:65" s="48" customFormat="1" ht="24.15" customHeight="1">
      <c r="C20" s="79" t="s">
        <v>63</v>
      </c>
      <c r="D20" s="79" t="s">
        <v>883</v>
      </c>
      <c r="E20" s="80" t="s">
        <v>1198</v>
      </c>
      <c r="F20" s="81" t="s">
        <v>1199</v>
      </c>
      <c r="G20" s="82" t="s">
        <v>1200</v>
      </c>
      <c r="H20" s="83">
        <v>40</v>
      </c>
      <c r="I20" s="527"/>
      <c r="J20" s="84">
        <f t="shared" si="0"/>
        <v>0</v>
      </c>
      <c r="K20" s="521"/>
      <c r="L20" s="533" t="s">
        <v>2474</v>
      </c>
      <c r="M20" s="530" t="s">
        <v>854</v>
      </c>
      <c r="N20" s="72" t="s">
        <v>860</v>
      </c>
      <c r="O20" s="73">
        <v>0</v>
      </c>
      <c r="P20" s="73">
        <f t="shared" si="1"/>
        <v>0</v>
      </c>
      <c r="Q20" s="73">
        <v>0</v>
      </c>
      <c r="R20" s="73">
        <f t="shared" si="2"/>
        <v>0</v>
      </c>
      <c r="S20" s="73">
        <v>0</v>
      </c>
      <c r="T20" s="74">
        <f t="shared" si="3"/>
        <v>0</v>
      </c>
      <c r="AR20" s="75" t="s">
        <v>71</v>
      </c>
      <c r="AT20" s="75" t="s">
        <v>883</v>
      </c>
      <c r="AU20" s="75" t="s">
        <v>63</v>
      </c>
      <c r="AY20" s="47" t="s">
        <v>881</v>
      </c>
      <c r="BE20" s="76">
        <f t="shared" si="4"/>
        <v>0</v>
      </c>
      <c r="BF20" s="76">
        <f t="shared" si="5"/>
        <v>0</v>
      </c>
      <c r="BG20" s="76">
        <f t="shared" si="6"/>
        <v>0</v>
      </c>
      <c r="BH20" s="76">
        <f t="shared" si="7"/>
        <v>0</v>
      </c>
      <c r="BI20" s="76">
        <f t="shared" si="8"/>
        <v>0</v>
      </c>
      <c r="BJ20" s="47" t="s">
        <v>51</v>
      </c>
      <c r="BK20" s="76">
        <f t="shared" si="9"/>
        <v>0</v>
      </c>
      <c r="BL20" s="47" t="s">
        <v>71</v>
      </c>
      <c r="BM20" s="75" t="s">
        <v>1201</v>
      </c>
    </row>
    <row r="21" spans="3:65" s="48" customFormat="1" ht="33" customHeight="1">
      <c r="C21" s="79" t="s">
        <v>67</v>
      </c>
      <c r="D21" s="79" t="s">
        <v>883</v>
      </c>
      <c r="E21" s="80" t="s">
        <v>1202</v>
      </c>
      <c r="F21" s="81" t="s">
        <v>1203</v>
      </c>
      <c r="G21" s="82" t="s">
        <v>81</v>
      </c>
      <c r="H21" s="83">
        <v>2062.5</v>
      </c>
      <c r="I21" s="527"/>
      <c r="J21" s="84">
        <f t="shared" si="0"/>
        <v>0</v>
      </c>
      <c r="K21" s="521"/>
      <c r="L21" s="533" t="s">
        <v>2474</v>
      </c>
      <c r="M21" s="530" t="s">
        <v>854</v>
      </c>
      <c r="N21" s="72" t="s">
        <v>860</v>
      </c>
      <c r="O21" s="73">
        <v>0.269</v>
      </c>
      <c r="P21" s="73">
        <f t="shared" si="1"/>
        <v>554.8125</v>
      </c>
      <c r="Q21" s="73">
        <v>0</v>
      </c>
      <c r="R21" s="73">
        <f t="shared" si="2"/>
        <v>0</v>
      </c>
      <c r="S21" s="73">
        <v>0</v>
      </c>
      <c r="T21" s="74">
        <f t="shared" si="3"/>
        <v>0</v>
      </c>
      <c r="AR21" s="75" t="s">
        <v>71</v>
      </c>
      <c r="AT21" s="75" t="s">
        <v>883</v>
      </c>
      <c r="AU21" s="75" t="s">
        <v>63</v>
      </c>
      <c r="AY21" s="47" t="s">
        <v>881</v>
      </c>
      <c r="BE21" s="76">
        <f t="shared" si="4"/>
        <v>0</v>
      </c>
      <c r="BF21" s="76">
        <f t="shared" si="5"/>
        <v>0</v>
      </c>
      <c r="BG21" s="76">
        <f t="shared" si="6"/>
        <v>0</v>
      </c>
      <c r="BH21" s="76">
        <f t="shared" si="7"/>
        <v>0</v>
      </c>
      <c r="BI21" s="76">
        <f t="shared" si="8"/>
        <v>0</v>
      </c>
      <c r="BJ21" s="47" t="s">
        <v>51</v>
      </c>
      <c r="BK21" s="76">
        <f t="shared" si="9"/>
        <v>0</v>
      </c>
      <c r="BL21" s="47" t="s">
        <v>71</v>
      </c>
      <c r="BM21" s="75" t="s">
        <v>1204</v>
      </c>
    </row>
    <row r="22" spans="3:65" s="48" customFormat="1" ht="24.15" customHeight="1">
      <c r="C22" s="79" t="s">
        <v>71</v>
      </c>
      <c r="D22" s="79" t="s">
        <v>883</v>
      </c>
      <c r="E22" s="80" t="s">
        <v>1205</v>
      </c>
      <c r="F22" s="81" t="s">
        <v>1206</v>
      </c>
      <c r="G22" s="82" t="s">
        <v>54</v>
      </c>
      <c r="H22" s="83">
        <v>3750</v>
      </c>
      <c r="I22" s="527"/>
      <c r="J22" s="84">
        <f t="shared" si="0"/>
        <v>0</v>
      </c>
      <c r="K22" s="521"/>
      <c r="L22" s="533" t="s">
        <v>2474</v>
      </c>
      <c r="M22" s="530" t="s">
        <v>854</v>
      </c>
      <c r="N22" s="72" t="s">
        <v>860</v>
      </c>
      <c r="O22" s="73">
        <v>0.637</v>
      </c>
      <c r="P22" s="73">
        <f t="shared" si="1"/>
        <v>2388.75</v>
      </c>
      <c r="Q22" s="73">
        <v>0.00119</v>
      </c>
      <c r="R22" s="73">
        <f t="shared" si="2"/>
        <v>4.4625</v>
      </c>
      <c r="S22" s="73">
        <v>0</v>
      </c>
      <c r="T22" s="74">
        <f t="shared" si="3"/>
        <v>0</v>
      </c>
      <c r="AR22" s="75" t="s">
        <v>71</v>
      </c>
      <c r="AT22" s="75" t="s">
        <v>883</v>
      </c>
      <c r="AU22" s="75" t="s">
        <v>63</v>
      </c>
      <c r="AY22" s="47" t="s">
        <v>881</v>
      </c>
      <c r="BE22" s="76">
        <f t="shared" si="4"/>
        <v>0</v>
      </c>
      <c r="BF22" s="76">
        <f t="shared" si="5"/>
        <v>0</v>
      </c>
      <c r="BG22" s="76">
        <f t="shared" si="6"/>
        <v>0</v>
      </c>
      <c r="BH22" s="76">
        <f t="shared" si="7"/>
        <v>0</v>
      </c>
      <c r="BI22" s="76">
        <f t="shared" si="8"/>
        <v>0</v>
      </c>
      <c r="BJ22" s="47" t="s">
        <v>51</v>
      </c>
      <c r="BK22" s="76">
        <f t="shared" si="9"/>
        <v>0</v>
      </c>
      <c r="BL22" s="47" t="s">
        <v>71</v>
      </c>
      <c r="BM22" s="75" t="s">
        <v>1207</v>
      </c>
    </row>
    <row r="23" spans="3:65" s="48" customFormat="1" ht="24.15" customHeight="1">
      <c r="C23" s="79" t="s">
        <v>78</v>
      </c>
      <c r="D23" s="79" t="s">
        <v>883</v>
      </c>
      <c r="E23" s="80" t="s">
        <v>1208</v>
      </c>
      <c r="F23" s="81" t="s">
        <v>1209</v>
      </c>
      <c r="G23" s="82" t="s">
        <v>54</v>
      </c>
      <c r="H23" s="83">
        <v>3750</v>
      </c>
      <c r="I23" s="527"/>
      <c r="J23" s="84">
        <f t="shared" si="0"/>
        <v>0</v>
      </c>
      <c r="K23" s="521"/>
      <c r="L23" s="533" t="s">
        <v>2474</v>
      </c>
      <c r="M23" s="530" t="s">
        <v>854</v>
      </c>
      <c r="N23" s="72" t="s">
        <v>860</v>
      </c>
      <c r="O23" s="73">
        <v>0.41</v>
      </c>
      <c r="P23" s="73">
        <f t="shared" si="1"/>
        <v>1537.5</v>
      </c>
      <c r="Q23" s="73">
        <v>0</v>
      </c>
      <c r="R23" s="73">
        <f t="shared" si="2"/>
        <v>0</v>
      </c>
      <c r="S23" s="73">
        <v>0</v>
      </c>
      <c r="T23" s="74">
        <f t="shared" si="3"/>
        <v>0</v>
      </c>
      <c r="AR23" s="75" t="s">
        <v>71</v>
      </c>
      <c r="AT23" s="75" t="s">
        <v>883</v>
      </c>
      <c r="AU23" s="75" t="s">
        <v>63</v>
      </c>
      <c r="AY23" s="47" t="s">
        <v>881</v>
      </c>
      <c r="BE23" s="76">
        <f t="shared" si="4"/>
        <v>0</v>
      </c>
      <c r="BF23" s="76">
        <f t="shared" si="5"/>
        <v>0</v>
      </c>
      <c r="BG23" s="76">
        <f t="shared" si="6"/>
        <v>0</v>
      </c>
      <c r="BH23" s="76">
        <f t="shared" si="7"/>
        <v>0</v>
      </c>
      <c r="BI23" s="76">
        <f t="shared" si="8"/>
        <v>0</v>
      </c>
      <c r="BJ23" s="47" t="s">
        <v>51</v>
      </c>
      <c r="BK23" s="76">
        <f t="shared" si="9"/>
        <v>0</v>
      </c>
      <c r="BL23" s="47" t="s">
        <v>71</v>
      </c>
      <c r="BM23" s="75" t="s">
        <v>1210</v>
      </c>
    </row>
    <row r="24" spans="3:65" s="48" customFormat="1" ht="37.95" customHeight="1">
      <c r="C24" s="79" t="s">
        <v>85</v>
      </c>
      <c r="D24" s="79" t="s">
        <v>883</v>
      </c>
      <c r="E24" s="80" t="s">
        <v>905</v>
      </c>
      <c r="F24" s="81" t="s">
        <v>906</v>
      </c>
      <c r="G24" s="82" t="s">
        <v>81</v>
      </c>
      <c r="H24" s="83">
        <v>419.1</v>
      </c>
      <c r="I24" s="527"/>
      <c r="J24" s="84">
        <f t="shared" si="0"/>
        <v>0</v>
      </c>
      <c r="K24" s="521"/>
      <c r="L24" s="533" t="s">
        <v>2474</v>
      </c>
      <c r="M24" s="530" t="s">
        <v>854</v>
      </c>
      <c r="N24" s="72" t="s">
        <v>860</v>
      </c>
      <c r="O24" s="73">
        <v>0.063</v>
      </c>
      <c r="P24" s="73">
        <f t="shared" si="1"/>
        <v>26.4033</v>
      </c>
      <c r="Q24" s="73">
        <v>0</v>
      </c>
      <c r="R24" s="73">
        <f t="shared" si="2"/>
        <v>0</v>
      </c>
      <c r="S24" s="73">
        <v>0</v>
      </c>
      <c r="T24" s="74">
        <f t="shared" si="3"/>
        <v>0</v>
      </c>
      <c r="AR24" s="75" t="s">
        <v>71</v>
      </c>
      <c r="AT24" s="75" t="s">
        <v>883</v>
      </c>
      <c r="AU24" s="75" t="s">
        <v>63</v>
      </c>
      <c r="AY24" s="47" t="s">
        <v>881</v>
      </c>
      <c r="BE24" s="76">
        <f t="shared" si="4"/>
        <v>0</v>
      </c>
      <c r="BF24" s="76">
        <f t="shared" si="5"/>
        <v>0</v>
      </c>
      <c r="BG24" s="76">
        <f t="shared" si="6"/>
        <v>0</v>
      </c>
      <c r="BH24" s="76">
        <f t="shared" si="7"/>
        <v>0</v>
      </c>
      <c r="BI24" s="76">
        <f t="shared" si="8"/>
        <v>0</v>
      </c>
      <c r="BJ24" s="47" t="s">
        <v>51</v>
      </c>
      <c r="BK24" s="76">
        <f t="shared" si="9"/>
        <v>0</v>
      </c>
      <c r="BL24" s="47" t="s">
        <v>71</v>
      </c>
      <c r="BM24" s="75" t="s">
        <v>1211</v>
      </c>
    </row>
    <row r="25" spans="3:65" s="48" customFormat="1" ht="37.95" customHeight="1">
      <c r="C25" s="79" t="s">
        <v>89</v>
      </c>
      <c r="D25" s="79" t="s">
        <v>883</v>
      </c>
      <c r="E25" s="80" t="s">
        <v>908</v>
      </c>
      <c r="F25" s="81" t="s">
        <v>909</v>
      </c>
      <c r="G25" s="82" t="s">
        <v>81</v>
      </c>
      <c r="H25" s="83">
        <v>419.1</v>
      </c>
      <c r="I25" s="527"/>
      <c r="J25" s="84">
        <f t="shared" si="0"/>
        <v>0</v>
      </c>
      <c r="K25" s="521"/>
      <c r="L25" s="533" t="s">
        <v>2474</v>
      </c>
      <c r="M25" s="530" t="s">
        <v>854</v>
      </c>
      <c r="N25" s="72" t="s">
        <v>860</v>
      </c>
      <c r="O25" s="73">
        <v>0.005</v>
      </c>
      <c r="P25" s="73">
        <f t="shared" si="1"/>
        <v>2.0955000000000004</v>
      </c>
      <c r="Q25" s="73">
        <v>0</v>
      </c>
      <c r="R25" s="73">
        <f t="shared" si="2"/>
        <v>0</v>
      </c>
      <c r="S25" s="73">
        <v>0</v>
      </c>
      <c r="T25" s="74">
        <f t="shared" si="3"/>
        <v>0</v>
      </c>
      <c r="AR25" s="75" t="s">
        <v>71</v>
      </c>
      <c r="AT25" s="75" t="s">
        <v>883</v>
      </c>
      <c r="AU25" s="75" t="s">
        <v>63</v>
      </c>
      <c r="AY25" s="47" t="s">
        <v>881</v>
      </c>
      <c r="BE25" s="76">
        <f t="shared" si="4"/>
        <v>0</v>
      </c>
      <c r="BF25" s="76">
        <f t="shared" si="5"/>
        <v>0</v>
      </c>
      <c r="BG25" s="76">
        <f t="shared" si="6"/>
        <v>0</v>
      </c>
      <c r="BH25" s="76">
        <f t="shared" si="7"/>
        <v>0</v>
      </c>
      <c r="BI25" s="76">
        <f t="shared" si="8"/>
        <v>0</v>
      </c>
      <c r="BJ25" s="47" t="s">
        <v>51</v>
      </c>
      <c r="BK25" s="76">
        <f t="shared" si="9"/>
        <v>0</v>
      </c>
      <c r="BL25" s="47" t="s">
        <v>71</v>
      </c>
      <c r="BM25" s="75" t="s">
        <v>1212</v>
      </c>
    </row>
    <row r="26" spans="3:65" s="48" customFormat="1" ht="24.15" customHeight="1">
      <c r="C26" s="79" t="s">
        <v>94</v>
      </c>
      <c r="D26" s="79" t="s">
        <v>883</v>
      </c>
      <c r="E26" s="80" t="s">
        <v>911</v>
      </c>
      <c r="F26" s="81" t="s">
        <v>912</v>
      </c>
      <c r="G26" s="82" t="s">
        <v>81</v>
      </c>
      <c r="H26" s="83">
        <v>419.1</v>
      </c>
      <c r="I26" s="527"/>
      <c r="J26" s="84">
        <f t="shared" si="0"/>
        <v>0</v>
      </c>
      <c r="K26" s="521"/>
      <c r="L26" s="533" t="s">
        <v>2474</v>
      </c>
      <c r="M26" s="530" t="s">
        <v>854</v>
      </c>
      <c r="N26" s="72" t="s">
        <v>860</v>
      </c>
      <c r="O26" s="73">
        <v>1.137</v>
      </c>
      <c r="P26" s="73">
        <f t="shared" si="1"/>
        <v>476.5167</v>
      </c>
      <c r="Q26" s="73">
        <v>0</v>
      </c>
      <c r="R26" s="73">
        <f t="shared" si="2"/>
        <v>0</v>
      </c>
      <c r="S26" s="73">
        <v>0</v>
      </c>
      <c r="T26" s="74">
        <f t="shared" si="3"/>
        <v>0</v>
      </c>
      <c r="AR26" s="75" t="s">
        <v>71</v>
      </c>
      <c r="AT26" s="75" t="s">
        <v>883</v>
      </c>
      <c r="AU26" s="75" t="s">
        <v>63</v>
      </c>
      <c r="AY26" s="47" t="s">
        <v>881</v>
      </c>
      <c r="BE26" s="76">
        <f t="shared" si="4"/>
        <v>0</v>
      </c>
      <c r="BF26" s="76">
        <f t="shared" si="5"/>
        <v>0</v>
      </c>
      <c r="BG26" s="76">
        <f t="shared" si="6"/>
        <v>0</v>
      </c>
      <c r="BH26" s="76">
        <f t="shared" si="7"/>
        <v>0</v>
      </c>
      <c r="BI26" s="76">
        <f t="shared" si="8"/>
        <v>0</v>
      </c>
      <c r="BJ26" s="47" t="s">
        <v>51</v>
      </c>
      <c r="BK26" s="76">
        <f t="shared" si="9"/>
        <v>0</v>
      </c>
      <c r="BL26" s="47" t="s">
        <v>71</v>
      </c>
      <c r="BM26" s="75" t="s">
        <v>1213</v>
      </c>
    </row>
    <row r="27" spans="3:65" s="48" customFormat="1" ht="24.15" customHeight="1">
      <c r="C27" s="79" t="s">
        <v>98</v>
      </c>
      <c r="D27" s="79" t="s">
        <v>883</v>
      </c>
      <c r="E27" s="80" t="s">
        <v>914</v>
      </c>
      <c r="F27" s="81" t="s">
        <v>915</v>
      </c>
      <c r="G27" s="82" t="s">
        <v>125</v>
      </c>
      <c r="H27" s="83">
        <v>754.38</v>
      </c>
      <c r="I27" s="527"/>
      <c r="J27" s="84">
        <f t="shared" si="0"/>
        <v>0</v>
      </c>
      <c r="K27" s="521"/>
      <c r="L27" s="533" t="s">
        <v>2474</v>
      </c>
      <c r="M27" s="530" t="s">
        <v>854</v>
      </c>
      <c r="N27" s="72" t="s">
        <v>860</v>
      </c>
      <c r="O27" s="73">
        <v>0</v>
      </c>
      <c r="P27" s="73">
        <f t="shared" si="1"/>
        <v>0</v>
      </c>
      <c r="Q27" s="73">
        <v>0</v>
      </c>
      <c r="R27" s="73">
        <f t="shared" si="2"/>
        <v>0</v>
      </c>
      <c r="S27" s="73">
        <v>0</v>
      </c>
      <c r="T27" s="74">
        <f t="shared" si="3"/>
        <v>0</v>
      </c>
      <c r="AR27" s="75" t="s">
        <v>71</v>
      </c>
      <c r="AT27" s="75" t="s">
        <v>883</v>
      </c>
      <c r="AU27" s="75" t="s">
        <v>63</v>
      </c>
      <c r="AY27" s="47" t="s">
        <v>881</v>
      </c>
      <c r="BE27" s="76">
        <f t="shared" si="4"/>
        <v>0</v>
      </c>
      <c r="BF27" s="76">
        <f t="shared" si="5"/>
        <v>0</v>
      </c>
      <c r="BG27" s="76">
        <f t="shared" si="6"/>
        <v>0</v>
      </c>
      <c r="BH27" s="76">
        <f t="shared" si="7"/>
        <v>0</v>
      </c>
      <c r="BI27" s="76">
        <f t="shared" si="8"/>
        <v>0</v>
      </c>
      <c r="BJ27" s="47" t="s">
        <v>51</v>
      </c>
      <c r="BK27" s="76">
        <f t="shared" si="9"/>
        <v>0</v>
      </c>
      <c r="BL27" s="47" t="s">
        <v>71</v>
      </c>
      <c r="BM27" s="75" t="s">
        <v>1214</v>
      </c>
    </row>
    <row r="28" spans="3:65" s="48" customFormat="1" ht="24.15" customHeight="1">
      <c r="C28" s="79" t="s">
        <v>104</v>
      </c>
      <c r="D28" s="79" t="s">
        <v>883</v>
      </c>
      <c r="E28" s="80" t="s">
        <v>917</v>
      </c>
      <c r="F28" s="81" t="s">
        <v>918</v>
      </c>
      <c r="G28" s="82" t="s">
        <v>81</v>
      </c>
      <c r="H28" s="83">
        <v>1643.4</v>
      </c>
      <c r="I28" s="527"/>
      <c r="J28" s="84">
        <f t="shared" si="0"/>
        <v>0</v>
      </c>
      <c r="K28" s="521"/>
      <c r="L28" s="533" t="s">
        <v>2474</v>
      </c>
      <c r="M28" s="530" t="s">
        <v>854</v>
      </c>
      <c r="N28" s="72" t="s">
        <v>860</v>
      </c>
      <c r="O28" s="73">
        <v>0.328</v>
      </c>
      <c r="P28" s="73">
        <f t="shared" si="1"/>
        <v>539.0352</v>
      </c>
      <c r="Q28" s="73">
        <v>0</v>
      </c>
      <c r="R28" s="73">
        <f t="shared" si="2"/>
        <v>0</v>
      </c>
      <c r="S28" s="73">
        <v>0</v>
      </c>
      <c r="T28" s="74">
        <f t="shared" si="3"/>
        <v>0</v>
      </c>
      <c r="AR28" s="75" t="s">
        <v>71</v>
      </c>
      <c r="AT28" s="75" t="s">
        <v>883</v>
      </c>
      <c r="AU28" s="75" t="s">
        <v>63</v>
      </c>
      <c r="AY28" s="47" t="s">
        <v>881</v>
      </c>
      <c r="BE28" s="76">
        <f t="shared" si="4"/>
        <v>0</v>
      </c>
      <c r="BF28" s="76">
        <f t="shared" si="5"/>
        <v>0</v>
      </c>
      <c r="BG28" s="76">
        <f t="shared" si="6"/>
        <v>0</v>
      </c>
      <c r="BH28" s="76">
        <f t="shared" si="7"/>
        <v>0</v>
      </c>
      <c r="BI28" s="76">
        <f t="shared" si="8"/>
        <v>0</v>
      </c>
      <c r="BJ28" s="47" t="s">
        <v>51</v>
      </c>
      <c r="BK28" s="76">
        <f t="shared" si="9"/>
        <v>0</v>
      </c>
      <c r="BL28" s="47" t="s">
        <v>71</v>
      </c>
      <c r="BM28" s="75" t="s">
        <v>1215</v>
      </c>
    </row>
    <row r="29" spans="3:65" s="48" customFormat="1" ht="24.15" customHeight="1">
      <c r="C29" s="79" t="s">
        <v>49</v>
      </c>
      <c r="D29" s="79" t="s">
        <v>883</v>
      </c>
      <c r="E29" s="80" t="s">
        <v>920</v>
      </c>
      <c r="F29" s="81" t="s">
        <v>921</v>
      </c>
      <c r="G29" s="82" t="s">
        <v>81</v>
      </c>
      <c r="H29" s="83">
        <v>123.8</v>
      </c>
      <c r="I29" s="527"/>
      <c r="J29" s="84">
        <f t="shared" si="0"/>
        <v>0</v>
      </c>
      <c r="K29" s="521"/>
      <c r="L29" s="533" t="s">
        <v>2474</v>
      </c>
      <c r="M29" s="530" t="s">
        <v>854</v>
      </c>
      <c r="N29" s="72" t="s">
        <v>860</v>
      </c>
      <c r="O29" s="73">
        <v>1.789</v>
      </c>
      <c r="P29" s="73">
        <f t="shared" si="1"/>
        <v>221.4782</v>
      </c>
      <c r="Q29" s="73">
        <v>0</v>
      </c>
      <c r="R29" s="73">
        <f t="shared" si="2"/>
        <v>0</v>
      </c>
      <c r="S29" s="73">
        <v>0</v>
      </c>
      <c r="T29" s="74">
        <f t="shared" si="3"/>
        <v>0</v>
      </c>
      <c r="AR29" s="75" t="s">
        <v>71</v>
      </c>
      <c r="AT29" s="75" t="s">
        <v>883</v>
      </c>
      <c r="AU29" s="75" t="s">
        <v>63</v>
      </c>
      <c r="AY29" s="47" t="s">
        <v>881</v>
      </c>
      <c r="BE29" s="76">
        <f t="shared" si="4"/>
        <v>0</v>
      </c>
      <c r="BF29" s="76">
        <f t="shared" si="5"/>
        <v>0</v>
      </c>
      <c r="BG29" s="76">
        <f t="shared" si="6"/>
        <v>0</v>
      </c>
      <c r="BH29" s="76">
        <f t="shared" si="7"/>
        <v>0</v>
      </c>
      <c r="BI29" s="76">
        <f t="shared" si="8"/>
        <v>0</v>
      </c>
      <c r="BJ29" s="47" t="s">
        <v>51</v>
      </c>
      <c r="BK29" s="76">
        <f t="shared" si="9"/>
        <v>0</v>
      </c>
      <c r="BL29" s="47" t="s">
        <v>71</v>
      </c>
      <c r="BM29" s="75" t="s">
        <v>1216</v>
      </c>
    </row>
    <row r="30" spans="3:65" s="48" customFormat="1" ht="16.5" customHeight="1">
      <c r="C30" s="85" t="s">
        <v>76</v>
      </c>
      <c r="D30" s="85" t="s">
        <v>201</v>
      </c>
      <c r="E30" s="86" t="s">
        <v>1217</v>
      </c>
      <c r="F30" s="87" t="s">
        <v>1218</v>
      </c>
      <c r="G30" s="88" t="s">
        <v>125</v>
      </c>
      <c r="H30" s="89">
        <v>222.84</v>
      </c>
      <c r="I30" s="528"/>
      <c r="J30" s="90">
        <f t="shared" si="0"/>
        <v>0</v>
      </c>
      <c r="K30" s="522"/>
      <c r="L30" s="533" t="s">
        <v>2474</v>
      </c>
      <c r="M30" s="531" t="s">
        <v>854</v>
      </c>
      <c r="N30" s="78" t="s">
        <v>860</v>
      </c>
      <c r="O30" s="73">
        <v>0</v>
      </c>
      <c r="P30" s="73">
        <f t="shared" si="1"/>
        <v>0</v>
      </c>
      <c r="Q30" s="73">
        <v>1</v>
      </c>
      <c r="R30" s="73">
        <f t="shared" si="2"/>
        <v>222.84</v>
      </c>
      <c r="S30" s="73">
        <v>0</v>
      </c>
      <c r="T30" s="74">
        <f t="shared" si="3"/>
        <v>0</v>
      </c>
      <c r="AR30" s="75" t="s">
        <v>94</v>
      </c>
      <c r="AT30" s="75" t="s">
        <v>201</v>
      </c>
      <c r="AU30" s="75" t="s">
        <v>63</v>
      </c>
      <c r="AY30" s="47" t="s">
        <v>881</v>
      </c>
      <c r="BE30" s="76">
        <f t="shared" si="4"/>
        <v>0</v>
      </c>
      <c r="BF30" s="76">
        <f t="shared" si="5"/>
        <v>0</v>
      </c>
      <c r="BG30" s="76">
        <f t="shared" si="6"/>
        <v>0</v>
      </c>
      <c r="BH30" s="76">
        <f t="shared" si="7"/>
        <v>0</v>
      </c>
      <c r="BI30" s="76">
        <f t="shared" si="8"/>
        <v>0</v>
      </c>
      <c r="BJ30" s="47" t="s">
        <v>51</v>
      </c>
      <c r="BK30" s="76">
        <f t="shared" si="9"/>
        <v>0</v>
      </c>
      <c r="BL30" s="47" t="s">
        <v>71</v>
      </c>
      <c r="BM30" s="75" t="s">
        <v>1219</v>
      </c>
    </row>
    <row r="31" spans="4:63" s="64" customFormat="1" ht="22.95" customHeight="1">
      <c r="D31" s="65" t="s">
        <v>877</v>
      </c>
      <c r="E31" s="205" t="s">
        <v>67</v>
      </c>
      <c r="F31" s="205" t="s">
        <v>1220</v>
      </c>
      <c r="J31" s="206">
        <f>BK31</f>
        <v>0</v>
      </c>
      <c r="P31" s="67">
        <f>P32</f>
        <v>31.875000000000004</v>
      </c>
      <c r="R31" s="67">
        <f>R32</f>
        <v>0</v>
      </c>
      <c r="T31" s="68">
        <f>T32</f>
        <v>0</v>
      </c>
      <c r="AR31" s="65" t="s">
        <v>51</v>
      </c>
      <c r="AT31" s="69" t="s">
        <v>877</v>
      </c>
      <c r="AU31" s="69" t="s">
        <v>51</v>
      </c>
      <c r="AY31" s="65" t="s">
        <v>881</v>
      </c>
      <c r="BK31" s="70">
        <f>BK32</f>
        <v>0</v>
      </c>
    </row>
    <row r="32" spans="3:65" s="48" customFormat="1" ht="21.75" customHeight="1">
      <c r="C32" s="79" t="s">
        <v>75</v>
      </c>
      <c r="D32" s="79" t="s">
        <v>883</v>
      </c>
      <c r="E32" s="80" t="s">
        <v>1221</v>
      </c>
      <c r="F32" s="81" t="s">
        <v>1222</v>
      </c>
      <c r="G32" s="82" t="s">
        <v>74</v>
      </c>
      <c r="H32" s="83">
        <v>375</v>
      </c>
      <c r="I32" s="527"/>
      <c r="J32" s="84">
        <f>ROUND(I32*H32,2)</f>
        <v>0</v>
      </c>
      <c r="K32" s="521"/>
      <c r="L32" s="533" t="s">
        <v>2474</v>
      </c>
      <c r="M32" s="530" t="s">
        <v>854</v>
      </c>
      <c r="N32" s="72" t="s">
        <v>860</v>
      </c>
      <c r="O32" s="73">
        <v>0.085</v>
      </c>
      <c r="P32" s="73">
        <f>O32*H32</f>
        <v>31.875000000000004</v>
      </c>
      <c r="Q32" s="73">
        <v>0</v>
      </c>
      <c r="R32" s="73">
        <f>Q32*H32</f>
        <v>0</v>
      </c>
      <c r="S32" s="73">
        <v>0</v>
      </c>
      <c r="T32" s="74">
        <f>S32*H32</f>
        <v>0</v>
      </c>
      <c r="AR32" s="75" t="s">
        <v>71</v>
      </c>
      <c r="AT32" s="75" t="s">
        <v>883</v>
      </c>
      <c r="AU32" s="75" t="s">
        <v>63</v>
      </c>
      <c r="AY32" s="47" t="s">
        <v>881</v>
      </c>
      <c r="BE32" s="76">
        <f>IF(N32="základní",J32,0)</f>
        <v>0</v>
      </c>
      <c r="BF32" s="76">
        <f>IF(N32="snížená",J32,0)</f>
        <v>0</v>
      </c>
      <c r="BG32" s="76">
        <f>IF(N32="zákl. přenesená",J32,0)</f>
        <v>0</v>
      </c>
      <c r="BH32" s="76">
        <f>IF(N32="sníž. přenesená",J32,0)</f>
        <v>0</v>
      </c>
      <c r="BI32" s="76">
        <f>IF(N32="nulová",J32,0)</f>
        <v>0</v>
      </c>
      <c r="BJ32" s="47" t="s">
        <v>51</v>
      </c>
      <c r="BK32" s="76">
        <f>ROUND(I32*H32,2)</f>
        <v>0</v>
      </c>
      <c r="BL32" s="47" t="s">
        <v>71</v>
      </c>
      <c r="BM32" s="75" t="s">
        <v>1223</v>
      </c>
    </row>
    <row r="33" spans="4:63" s="64" customFormat="1" ht="22.95" customHeight="1">
      <c r="D33" s="65" t="s">
        <v>877</v>
      </c>
      <c r="E33" s="205" t="s">
        <v>71</v>
      </c>
      <c r="F33" s="205" t="s">
        <v>926</v>
      </c>
      <c r="J33" s="206">
        <f>BK33</f>
        <v>0</v>
      </c>
      <c r="P33" s="67">
        <f>SUM(P34:P36)</f>
        <v>263.59549999999996</v>
      </c>
      <c r="R33" s="67">
        <f>SUM(R34:R36)</f>
        <v>17.316</v>
      </c>
      <c r="T33" s="68">
        <f>SUM(T34:T36)</f>
        <v>0</v>
      </c>
      <c r="AR33" s="65" t="s">
        <v>51</v>
      </c>
      <c r="AT33" s="69" t="s">
        <v>877</v>
      </c>
      <c r="AU33" s="69" t="s">
        <v>51</v>
      </c>
      <c r="AY33" s="65" t="s">
        <v>881</v>
      </c>
      <c r="BK33" s="70">
        <f>SUM(BK34:BK36)</f>
        <v>0</v>
      </c>
    </row>
    <row r="34" spans="3:65" s="48" customFormat="1" ht="24.15" customHeight="1">
      <c r="C34" s="79" t="s">
        <v>128</v>
      </c>
      <c r="D34" s="79" t="s">
        <v>883</v>
      </c>
      <c r="E34" s="80" t="s">
        <v>927</v>
      </c>
      <c r="F34" s="81" t="s">
        <v>928</v>
      </c>
      <c r="G34" s="82" t="s">
        <v>81</v>
      </c>
      <c r="H34" s="83">
        <v>26.3</v>
      </c>
      <c r="I34" s="527"/>
      <c r="J34" s="84">
        <f>ROUND(I34*H34,2)</f>
        <v>0</v>
      </c>
      <c r="K34" s="521"/>
      <c r="L34" s="533" t="s">
        <v>2474</v>
      </c>
      <c r="M34" s="530" t="s">
        <v>854</v>
      </c>
      <c r="N34" s="72" t="s">
        <v>860</v>
      </c>
      <c r="O34" s="73">
        <v>1.695</v>
      </c>
      <c r="P34" s="73">
        <f>O34*H34</f>
        <v>44.578500000000005</v>
      </c>
      <c r="Q34" s="73">
        <v>0</v>
      </c>
      <c r="R34" s="73">
        <f>Q34*H34</f>
        <v>0</v>
      </c>
      <c r="S34" s="73">
        <v>0</v>
      </c>
      <c r="T34" s="74">
        <f>S34*H34</f>
        <v>0</v>
      </c>
      <c r="AR34" s="75" t="s">
        <v>71</v>
      </c>
      <c r="AT34" s="75" t="s">
        <v>883</v>
      </c>
      <c r="AU34" s="75" t="s">
        <v>63</v>
      </c>
      <c r="AY34" s="47" t="s">
        <v>881</v>
      </c>
      <c r="BE34" s="76">
        <f>IF(N34="základní",J34,0)</f>
        <v>0</v>
      </c>
      <c r="BF34" s="76">
        <f>IF(N34="snížená",J34,0)</f>
        <v>0</v>
      </c>
      <c r="BG34" s="76">
        <f>IF(N34="zákl. přenesená",J34,0)</f>
        <v>0</v>
      </c>
      <c r="BH34" s="76">
        <f>IF(N34="sníž. přenesená",J34,0)</f>
        <v>0</v>
      </c>
      <c r="BI34" s="76">
        <f>IF(N34="nulová",J34,0)</f>
        <v>0</v>
      </c>
      <c r="BJ34" s="47" t="s">
        <v>51</v>
      </c>
      <c r="BK34" s="76">
        <f>ROUND(I34*H34,2)</f>
        <v>0</v>
      </c>
      <c r="BL34" s="47" t="s">
        <v>71</v>
      </c>
      <c r="BM34" s="75" t="s">
        <v>1224</v>
      </c>
    </row>
    <row r="35" spans="3:65" s="48" customFormat="1" ht="24.15" customHeight="1">
      <c r="C35" s="79" t="s">
        <v>66</v>
      </c>
      <c r="D35" s="79" t="s">
        <v>883</v>
      </c>
      <c r="E35" s="80" t="s">
        <v>1225</v>
      </c>
      <c r="F35" s="81" t="s">
        <v>1226</v>
      </c>
      <c r="G35" s="82" t="s">
        <v>81</v>
      </c>
      <c r="H35" s="83">
        <v>33.8</v>
      </c>
      <c r="I35" s="527"/>
      <c r="J35" s="84">
        <f>ROUND(I35*H35,2)</f>
        <v>0</v>
      </c>
      <c r="K35" s="521"/>
      <c r="L35" s="533" t="s">
        <v>2474</v>
      </c>
      <c r="M35" s="530" t="s">
        <v>854</v>
      </c>
      <c r="N35" s="72" t="s">
        <v>860</v>
      </c>
      <c r="O35" s="73">
        <v>1.465</v>
      </c>
      <c r="P35" s="73">
        <f>O35*H35</f>
        <v>49.516999999999996</v>
      </c>
      <c r="Q35" s="73">
        <v>0</v>
      </c>
      <c r="R35" s="73">
        <f>Q35*H35</f>
        <v>0</v>
      </c>
      <c r="S35" s="73">
        <v>0</v>
      </c>
      <c r="T35" s="74">
        <f>S35*H35</f>
        <v>0</v>
      </c>
      <c r="AR35" s="75" t="s">
        <v>71</v>
      </c>
      <c r="AT35" s="75" t="s">
        <v>883</v>
      </c>
      <c r="AU35" s="75" t="s">
        <v>63</v>
      </c>
      <c r="AY35" s="47" t="s">
        <v>881</v>
      </c>
      <c r="BE35" s="76">
        <f>IF(N35="základní",J35,0)</f>
        <v>0</v>
      </c>
      <c r="BF35" s="76">
        <f>IF(N35="snížená",J35,0)</f>
        <v>0</v>
      </c>
      <c r="BG35" s="76">
        <f>IF(N35="zákl. přenesená",J35,0)</f>
        <v>0</v>
      </c>
      <c r="BH35" s="76">
        <f>IF(N35="sníž. přenesená",J35,0)</f>
        <v>0</v>
      </c>
      <c r="BI35" s="76">
        <f>IF(N35="nulová",J35,0)</f>
        <v>0</v>
      </c>
      <c r="BJ35" s="47" t="s">
        <v>51</v>
      </c>
      <c r="BK35" s="76">
        <f>ROUND(I35*H35,2)</f>
        <v>0</v>
      </c>
      <c r="BL35" s="47" t="s">
        <v>71</v>
      </c>
      <c r="BM35" s="75" t="s">
        <v>1227</v>
      </c>
    </row>
    <row r="36" spans="3:65" s="48" customFormat="1" ht="24.15" customHeight="1">
      <c r="C36" s="79" t="s">
        <v>92</v>
      </c>
      <c r="D36" s="79" t="s">
        <v>883</v>
      </c>
      <c r="E36" s="80" t="s">
        <v>1228</v>
      </c>
      <c r="F36" s="81" t="s">
        <v>1229</v>
      </c>
      <c r="G36" s="82" t="s">
        <v>74</v>
      </c>
      <c r="H36" s="83">
        <v>300</v>
      </c>
      <c r="I36" s="527"/>
      <c r="J36" s="84">
        <f>ROUND(I36*H36,2)</f>
        <v>0</v>
      </c>
      <c r="K36" s="521"/>
      <c r="L36" s="533" t="s">
        <v>2474</v>
      </c>
      <c r="M36" s="530" t="s">
        <v>854</v>
      </c>
      <c r="N36" s="72" t="s">
        <v>860</v>
      </c>
      <c r="O36" s="73">
        <v>0.565</v>
      </c>
      <c r="P36" s="73">
        <f>O36*H36</f>
        <v>169.49999999999997</v>
      </c>
      <c r="Q36" s="73">
        <v>0.05772</v>
      </c>
      <c r="R36" s="73">
        <f>Q36*H36</f>
        <v>17.316</v>
      </c>
      <c r="S36" s="73">
        <v>0</v>
      </c>
      <c r="T36" s="74">
        <f>S36*H36</f>
        <v>0</v>
      </c>
      <c r="AR36" s="75" t="s">
        <v>71</v>
      </c>
      <c r="AT36" s="75" t="s">
        <v>883</v>
      </c>
      <c r="AU36" s="75" t="s">
        <v>63</v>
      </c>
      <c r="AY36" s="47" t="s">
        <v>881</v>
      </c>
      <c r="BE36" s="76">
        <f>IF(N36="základní",J36,0)</f>
        <v>0</v>
      </c>
      <c r="BF36" s="76">
        <f>IF(N36="snížená",J36,0)</f>
        <v>0</v>
      </c>
      <c r="BG36" s="76">
        <f>IF(N36="zákl. přenesená",J36,0)</f>
        <v>0</v>
      </c>
      <c r="BH36" s="76">
        <f>IF(N36="sníž. přenesená",J36,0)</f>
        <v>0</v>
      </c>
      <c r="BI36" s="76">
        <f>IF(N36="nulová",J36,0)</f>
        <v>0</v>
      </c>
      <c r="BJ36" s="47" t="s">
        <v>51</v>
      </c>
      <c r="BK36" s="76">
        <f>ROUND(I36*H36,2)</f>
        <v>0</v>
      </c>
      <c r="BL36" s="47" t="s">
        <v>71</v>
      </c>
      <c r="BM36" s="75" t="s">
        <v>1230</v>
      </c>
    </row>
    <row r="37" spans="4:63" s="64" customFormat="1" ht="22.95" customHeight="1">
      <c r="D37" s="65" t="s">
        <v>877</v>
      </c>
      <c r="E37" s="205" t="s">
        <v>94</v>
      </c>
      <c r="F37" s="205" t="s">
        <v>955</v>
      </c>
      <c r="J37" s="206">
        <f>BK37</f>
        <v>0</v>
      </c>
      <c r="P37" s="67">
        <f>SUM(P38:P56)</f>
        <v>633.8706</v>
      </c>
      <c r="R37" s="67">
        <f>SUM(R38:R56)</f>
        <v>164.47480000000002</v>
      </c>
      <c r="T37" s="68">
        <f>SUM(T38:T56)</f>
        <v>0</v>
      </c>
      <c r="AR37" s="65" t="s">
        <v>51</v>
      </c>
      <c r="AT37" s="69" t="s">
        <v>877</v>
      </c>
      <c r="AU37" s="69" t="s">
        <v>51</v>
      </c>
      <c r="AY37" s="65" t="s">
        <v>881</v>
      </c>
      <c r="BK37" s="70">
        <f>SUM(BK38:BK56)</f>
        <v>0</v>
      </c>
    </row>
    <row r="38" spans="3:65" s="48" customFormat="1" ht="33" customHeight="1">
      <c r="C38" s="79" t="s">
        <v>102</v>
      </c>
      <c r="D38" s="79" t="s">
        <v>883</v>
      </c>
      <c r="E38" s="80" t="s">
        <v>1231</v>
      </c>
      <c r="F38" s="81" t="s">
        <v>1232</v>
      </c>
      <c r="G38" s="82" t="s">
        <v>74</v>
      </c>
      <c r="H38" s="83">
        <v>37.5</v>
      </c>
      <c r="I38" s="527"/>
      <c r="J38" s="84">
        <f aca="true" t="shared" si="10" ref="J38:J56">ROUND(I38*H38,2)</f>
        <v>0</v>
      </c>
      <c r="K38" s="521"/>
      <c r="L38" s="533" t="s">
        <v>2474</v>
      </c>
      <c r="M38" s="530" t="s">
        <v>854</v>
      </c>
      <c r="N38" s="72" t="s">
        <v>860</v>
      </c>
      <c r="O38" s="73">
        <v>0.686</v>
      </c>
      <c r="P38" s="73">
        <f aca="true" t="shared" si="11" ref="P38:P56">O38*H38</f>
        <v>25.725</v>
      </c>
      <c r="Q38" s="73">
        <v>8E-05</v>
      </c>
      <c r="R38" s="73">
        <f aca="true" t="shared" si="12" ref="R38:R56">Q38*H38</f>
        <v>0.003</v>
      </c>
      <c r="S38" s="73">
        <v>0</v>
      </c>
      <c r="T38" s="74">
        <f aca="true" t="shared" si="13" ref="T38:T56">S38*H38</f>
        <v>0</v>
      </c>
      <c r="AR38" s="75" t="s">
        <v>71</v>
      </c>
      <c r="AT38" s="75" t="s">
        <v>883</v>
      </c>
      <c r="AU38" s="75" t="s">
        <v>63</v>
      </c>
      <c r="AY38" s="47" t="s">
        <v>881</v>
      </c>
      <c r="BE38" s="76">
        <f aca="true" t="shared" si="14" ref="BE38:BE56">IF(N38="základní",J38,0)</f>
        <v>0</v>
      </c>
      <c r="BF38" s="76">
        <f aca="true" t="shared" si="15" ref="BF38:BF56">IF(N38="snížená",J38,0)</f>
        <v>0</v>
      </c>
      <c r="BG38" s="76">
        <f aca="true" t="shared" si="16" ref="BG38:BG56">IF(N38="zákl. přenesená",J38,0)</f>
        <v>0</v>
      </c>
      <c r="BH38" s="76">
        <f aca="true" t="shared" si="17" ref="BH38:BH56">IF(N38="sníž. přenesená",J38,0)</f>
        <v>0</v>
      </c>
      <c r="BI38" s="76">
        <f aca="true" t="shared" si="18" ref="BI38:BI56">IF(N38="nulová",J38,0)</f>
        <v>0</v>
      </c>
      <c r="BJ38" s="47" t="s">
        <v>51</v>
      </c>
      <c r="BK38" s="76">
        <f aca="true" t="shared" si="19" ref="BK38:BK56">ROUND(I38*H38,2)</f>
        <v>0</v>
      </c>
      <c r="BL38" s="47" t="s">
        <v>71</v>
      </c>
      <c r="BM38" s="75" t="s">
        <v>1233</v>
      </c>
    </row>
    <row r="39" spans="3:65" s="48" customFormat="1" ht="24.15" customHeight="1">
      <c r="C39" s="85" t="s">
        <v>114</v>
      </c>
      <c r="D39" s="85" t="s">
        <v>201</v>
      </c>
      <c r="E39" s="86" t="s">
        <v>1234</v>
      </c>
      <c r="F39" s="87" t="s">
        <v>1235</v>
      </c>
      <c r="G39" s="88" t="s">
        <v>74</v>
      </c>
      <c r="H39" s="89">
        <v>380.625</v>
      </c>
      <c r="I39" s="528"/>
      <c r="J39" s="90">
        <f t="shared" si="10"/>
        <v>0</v>
      </c>
      <c r="K39" s="522"/>
      <c r="L39" s="533" t="s">
        <v>2474</v>
      </c>
      <c r="M39" s="531" t="s">
        <v>854</v>
      </c>
      <c r="N39" s="78" t="s">
        <v>860</v>
      </c>
      <c r="O39" s="73">
        <v>0</v>
      </c>
      <c r="P39" s="73">
        <f t="shared" si="11"/>
        <v>0</v>
      </c>
      <c r="Q39" s="73">
        <v>0.1</v>
      </c>
      <c r="R39" s="73">
        <f t="shared" si="12"/>
        <v>38.0625</v>
      </c>
      <c r="S39" s="73">
        <v>0</v>
      </c>
      <c r="T39" s="74">
        <f t="shared" si="13"/>
        <v>0</v>
      </c>
      <c r="AR39" s="75" t="s">
        <v>94</v>
      </c>
      <c r="AT39" s="75" t="s">
        <v>201</v>
      </c>
      <c r="AU39" s="75" t="s">
        <v>63</v>
      </c>
      <c r="AY39" s="47" t="s">
        <v>881</v>
      </c>
      <c r="BE39" s="76">
        <f t="shared" si="14"/>
        <v>0</v>
      </c>
      <c r="BF39" s="76">
        <f t="shared" si="15"/>
        <v>0</v>
      </c>
      <c r="BG39" s="76">
        <f t="shared" si="16"/>
        <v>0</v>
      </c>
      <c r="BH39" s="76">
        <f t="shared" si="17"/>
        <v>0</v>
      </c>
      <c r="BI39" s="76">
        <f t="shared" si="18"/>
        <v>0</v>
      </c>
      <c r="BJ39" s="47" t="s">
        <v>51</v>
      </c>
      <c r="BK39" s="76">
        <f t="shared" si="19"/>
        <v>0</v>
      </c>
      <c r="BL39" s="47" t="s">
        <v>71</v>
      </c>
      <c r="BM39" s="75" t="s">
        <v>1236</v>
      </c>
    </row>
    <row r="40" spans="3:65" s="48" customFormat="1" ht="16.5" customHeight="1">
      <c r="C40" s="85" t="s">
        <v>121</v>
      </c>
      <c r="D40" s="85" t="s">
        <v>201</v>
      </c>
      <c r="E40" s="86" t="s">
        <v>1237</v>
      </c>
      <c r="F40" s="87" t="s">
        <v>1238</v>
      </c>
      <c r="G40" s="88" t="s">
        <v>260</v>
      </c>
      <c r="H40" s="89">
        <v>9</v>
      </c>
      <c r="I40" s="528"/>
      <c r="J40" s="90">
        <f t="shared" si="10"/>
        <v>0</v>
      </c>
      <c r="K40" s="522"/>
      <c r="L40" s="533" t="s">
        <v>2474</v>
      </c>
      <c r="M40" s="531" t="s">
        <v>854</v>
      </c>
      <c r="N40" s="78" t="s">
        <v>860</v>
      </c>
      <c r="O40" s="73">
        <v>0</v>
      </c>
      <c r="P40" s="73">
        <f t="shared" si="11"/>
        <v>0</v>
      </c>
      <c r="Q40" s="73">
        <v>0.526</v>
      </c>
      <c r="R40" s="73">
        <f t="shared" si="12"/>
        <v>4.734</v>
      </c>
      <c r="S40" s="73">
        <v>0</v>
      </c>
      <c r="T40" s="74">
        <f t="shared" si="13"/>
        <v>0</v>
      </c>
      <c r="AR40" s="75" t="s">
        <v>94</v>
      </c>
      <c r="AT40" s="75" t="s">
        <v>201</v>
      </c>
      <c r="AU40" s="75" t="s">
        <v>63</v>
      </c>
      <c r="AY40" s="47" t="s">
        <v>881</v>
      </c>
      <c r="BE40" s="76">
        <f t="shared" si="14"/>
        <v>0</v>
      </c>
      <c r="BF40" s="76">
        <f t="shared" si="15"/>
        <v>0</v>
      </c>
      <c r="BG40" s="76">
        <f t="shared" si="16"/>
        <v>0</v>
      </c>
      <c r="BH40" s="76">
        <f t="shared" si="17"/>
        <v>0</v>
      </c>
      <c r="BI40" s="76">
        <f t="shared" si="18"/>
        <v>0</v>
      </c>
      <c r="BJ40" s="47" t="s">
        <v>51</v>
      </c>
      <c r="BK40" s="76">
        <f t="shared" si="19"/>
        <v>0</v>
      </c>
      <c r="BL40" s="47" t="s">
        <v>71</v>
      </c>
      <c r="BM40" s="75" t="s">
        <v>1239</v>
      </c>
    </row>
    <row r="41" spans="3:65" s="48" customFormat="1" ht="16.5" customHeight="1">
      <c r="C41" s="85" t="s">
        <v>157</v>
      </c>
      <c r="D41" s="85" t="s">
        <v>201</v>
      </c>
      <c r="E41" s="86" t="s">
        <v>1240</v>
      </c>
      <c r="F41" s="87" t="s">
        <v>1241</v>
      </c>
      <c r="G41" s="88" t="s">
        <v>260</v>
      </c>
      <c r="H41" s="89">
        <v>9</v>
      </c>
      <c r="I41" s="528"/>
      <c r="J41" s="90">
        <f t="shared" si="10"/>
        <v>0</v>
      </c>
      <c r="K41" s="522"/>
      <c r="L41" s="533" t="s">
        <v>2474</v>
      </c>
      <c r="M41" s="531" t="s">
        <v>854</v>
      </c>
      <c r="N41" s="78" t="s">
        <v>860</v>
      </c>
      <c r="O41" s="73">
        <v>0</v>
      </c>
      <c r="P41" s="73">
        <f t="shared" si="11"/>
        <v>0</v>
      </c>
      <c r="Q41" s="73">
        <v>0.262</v>
      </c>
      <c r="R41" s="73">
        <f t="shared" si="12"/>
        <v>2.358</v>
      </c>
      <c r="S41" s="73">
        <v>0</v>
      </c>
      <c r="T41" s="74">
        <f t="shared" si="13"/>
        <v>0</v>
      </c>
      <c r="AR41" s="75" t="s">
        <v>94</v>
      </c>
      <c r="AT41" s="75" t="s">
        <v>201</v>
      </c>
      <c r="AU41" s="75" t="s">
        <v>63</v>
      </c>
      <c r="AY41" s="47" t="s">
        <v>881</v>
      </c>
      <c r="BE41" s="76">
        <f t="shared" si="14"/>
        <v>0</v>
      </c>
      <c r="BF41" s="76">
        <f t="shared" si="15"/>
        <v>0</v>
      </c>
      <c r="BG41" s="76">
        <f t="shared" si="16"/>
        <v>0</v>
      </c>
      <c r="BH41" s="76">
        <f t="shared" si="17"/>
        <v>0</v>
      </c>
      <c r="BI41" s="76">
        <f t="shared" si="18"/>
        <v>0</v>
      </c>
      <c r="BJ41" s="47" t="s">
        <v>51</v>
      </c>
      <c r="BK41" s="76">
        <f t="shared" si="19"/>
        <v>0</v>
      </c>
      <c r="BL41" s="47" t="s">
        <v>71</v>
      </c>
      <c r="BM41" s="75" t="s">
        <v>1242</v>
      </c>
    </row>
    <row r="42" spans="3:65" s="48" customFormat="1" ht="16.5" customHeight="1">
      <c r="C42" s="85" t="s">
        <v>161</v>
      </c>
      <c r="D42" s="85" t="s">
        <v>201</v>
      </c>
      <c r="E42" s="86" t="s">
        <v>1243</v>
      </c>
      <c r="F42" s="87" t="s">
        <v>1244</v>
      </c>
      <c r="G42" s="88" t="s">
        <v>260</v>
      </c>
      <c r="H42" s="89">
        <v>40</v>
      </c>
      <c r="I42" s="528"/>
      <c r="J42" s="90">
        <f t="shared" si="10"/>
        <v>0</v>
      </c>
      <c r="K42" s="522"/>
      <c r="L42" s="533" t="s">
        <v>2474</v>
      </c>
      <c r="M42" s="531" t="s">
        <v>854</v>
      </c>
      <c r="N42" s="78" t="s">
        <v>860</v>
      </c>
      <c r="O42" s="73">
        <v>0</v>
      </c>
      <c r="P42" s="73">
        <f t="shared" si="11"/>
        <v>0</v>
      </c>
      <c r="Q42" s="73">
        <v>1.054</v>
      </c>
      <c r="R42" s="73">
        <f t="shared" si="12"/>
        <v>42.160000000000004</v>
      </c>
      <c r="S42" s="73">
        <v>0</v>
      </c>
      <c r="T42" s="74">
        <f t="shared" si="13"/>
        <v>0</v>
      </c>
      <c r="AR42" s="75" t="s">
        <v>94</v>
      </c>
      <c r="AT42" s="75" t="s">
        <v>201</v>
      </c>
      <c r="AU42" s="75" t="s">
        <v>63</v>
      </c>
      <c r="AY42" s="47" t="s">
        <v>881</v>
      </c>
      <c r="BE42" s="76">
        <f t="shared" si="14"/>
        <v>0</v>
      </c>
      <c r="BF42" s="76">
        <f t="shared" si="15"/>
        <v>0</v>
      </c>
      <c r="BG42" s="76">
        <f t="shared" si="16"/>
        <v>0</v>
      </c>
      <c r="BH42" s="76">
        <f t="shared" si="17"/>
        <v>0</v>
      </c>
      <c r="BI42" s="76">
        <f t="shared" si="18"/>
        <v>0</v>
      </c>
      <c r="BJ42" s="47" t="s">
        <v>51</v>
      </c>
      <c r="BK42" s="76">
        <f t="shared" si="19"/>
        <v>0</v>
      </c>
      <c r="BL42" s="47" t="s">
        <v>71</v>
      </c>
      <c r="BM42" s="75" t="s">
        <v>1245</v>
      </c>
    </row>
    <row r="43" spans="3:65" s="48" customFormat="1" ht="24.15" customHeight="1">
      <c r="C43" s="85" t="s">
        <v>165</v>
      </c>
      <c r="D43" s="85" t="s">
        <v>201</v>
      </c>
      <c r="E43" s="86" t="s">
        <v>1246</v>
      </c>
      <c r="F43" s="87" t="s">
        <v>1247</v>
      </c>
      <c r="G43" s="88" t="s">
        <v>260</v>
      </c>
      <c r="H43" s="89">
        <v>15</v>
      </c>
      <c r="I43" s="528"/>
      <c r="J43" s="90">
        <f t="shared" si="10"/>
        <v>0</v>
      </c>
      <c r="K43" s="522"/>
      <c r="L43" s="533" t="s">
        <v>2474</v>
      </c>
      <c r="M43" s="531" t="s">
        <v>854</v>
      </c>
      <c r="N43" s="78" t="s">
        <v>860</v>
      </c>
      <c r="O43" s="73">
        <v>0</v>
      </c>
      <c r="P43" s="73">
        <f t="shared" si="11"/>
        <v>0</v>
      </c>
      <c r="Q43" s="73">
        <v>0.585</v>
      </c>
      <c r="R43" s="73">
        <f t="shared" si="12"/>
        <v>8.774999999999999</v>
      </c>
      <c r="S43" s="73">
        <v>0</v>
      </c>
      <c r="T43" s="74">
        <f t="shared" si="13"/>
        <v>0</v>
      </c>
      <c r="AR43" s="75" t="s">
        <v>94</v>
      </c>
      <c r="AT43" s="75" t="s">
        <v>201</v>
      </c>
      <c r="AU43" s="75" t="s">
        <v>63</v>
      </c>
      <c r="AY43" s="47" t="s">
        <v>881</v>
      </c>
      <c r="BE43" s="76">
        <f t="shared" si="14"/>
        <v>0</v>
      </c>
      <c r="BF43" s="76">
        <f t="shared" si="15"/>
        <v>0</v>
      </c>
      <c r="BG43" s="76">
        <f t="shared" si="16"/>
        <v>0</v>
      </c>
      <c r="BH43" s="76">
        <f t="shared" si="17"/>
        <v>0</v>
      </c>
      <c r="BI43" s="76">
        <f t="shared" si="18"/>
        <v>0</v>
      </c>
      <c r="BJ43" s="47" t="s">
        <v>51</v>
      </c>
      <c r="BK43" s="76">
        <f t="shared" si="19"/>
        <v>0</v>
      </c>
      <c r="BL43" s="47" t="s">
        <v>71</v>
      </c>
      <c r="BM43" s="75" t="s">
        <v>1248</v>
      </c>
    </row>
    <row r="44" spans="3:65" s="48" customFormat="1" ht="24.15" customHeight="1">
      <c r="C44" s="85" t="s">
        <v>70</v>
      </c>
      <c r="D44" s="85" t="s">
        <v>201</v>
      </c>
      <c r="E44" s="86" t="s">
        <v>1249</v>
      </c>
      <c r="F44" s="87" t="s">
        <v>1250</v>
      </c>
      <c r="G44" s="88" t="s">
        <v>260</v>
      </c>
      <c r="H44" s="89">
        <v>4</v>
      </c>
      <c r="I44" s="528"/>
      <c r="J44" s="90">
        <f t="shared" si="10"/>
        <v>0</v>
      </c>
      <c r="K44" s="522"/>
      <c r="L44" s="533" t="s">
        <v>2474</v>
      </c>
      <c r="M44" s="531" t="s">
        <v>854</v>
      </c>
      <c r="N44" s="78" t="s">
        <v>860</v>
      </c>
      <c r="O44" s="73">
        <v>0</v>
      </c>
      <c r="P44" s="73">
        <f t="shared" si="11"/>
        <v>0</v>
      </c>
      <c r="Q44" s="73">
        <v>0.04</v>
      </c>
      <c r="R44" s="73">
        <f t="shared" si="12"/>
        <v>0.16</v>
      </c>
      <c r="S44" s="73">
        <v>0</v>
      </c>
      <c r="T44" s="74">
        <f t="shared" si="13"/>
        <v>0</v>
      </c>
      <c r="AR44" s="75" t="s">
        <v>94</v>
      </c>
      <c r="AT44" s="75" t="s">
        <v>201</v>
      </c>
      <c r="AU44" s="75" t="s">
        <v>63</v>
      </c>
      <c r="AY44" s="47" t="s">
        <v>881</v>
      </c>
      <c r="BE44" s="76">
        <f t="shared" si="14"/>
        <v>0</v>
      </c>
      <c r="BF44" s="76">
        <f t="shared" si="15"/>
        <v>0</v>
      </c>
      <c r="BG44" s="76">
        <f t="shared" si="16"/>
        <v>0</v>
      </c>
      <c r="BH44" s="76">
        <f t="shared" si="17"/>
        <v>0</v>
      </c>
      <c r="BI44" s="76">
        <f t="shared" si="18"/>
        <v>0</v>
      </c>
      <c r="BJ44" s="47" t="s">
        <v>51</v>
      </c>
      <c r="BK44" s="76">
        <f t="shared" si="19"/>
        <v>0</v>
      </c>
      <c r="BL44" s="47" t="s">
        <v>71</v>
      </c>
      <c r="BM44" s="75" t="s">
        <v>1251</v>
      </c>
    </row>
    <row r="45" spans="3:65" s="48" customFormat="1" ht="24.15" customHeight="1">
      <c r="C45" s="85" t="s">
        <v>172</v>
      </c>
      <c r="D45" s="85" t="s">
        <v>201</v>
      </c>
      <c r="E45" s="86" t="s">
        <v>1252</v>
      </c>
      <c r="F45" s="87" t="s">
        <v>1253</v>
      </c>
      <c r="G45" s="88" t="s">
        <v>260</v>
      </c>
      <c r="H45" s="89">
        <v>3</v>
      </c>
      <c r="I45" s="528"/>
      <c r="J45" s="90">
        <f t="shared" si="10"/>
        <v>0</v>
      </c>
      <c r="K45" s="522"/>
      <c r="L45" s="533" t="s">
        <v>2474</v>
      </c>
      <c r="M45" s="531" t="s">
        <v>854</v>
      </c>
      <c r="N45" s="78" t="s">
        <v>860</v>
      </c>
      <c r="O45" s="73">
        <v>0</v>
      </c>
      <c r="P45" s="73">
        <f t="shared" si="11"/>
        <v>0</v>
      </c>
      <c r="Q45" s="73">
        <v>0.051</v>
      </c>
      <c r="R45" s="73">
        <f t="shared" si="12"/>
        <v>0.153</v>
      </c>
      <c r="S45" s="73">
        <v>0</v>
      </c>
      <c r="T45" s="74">
        <f t="shared" si="13"/>
        <v>0</v>
      </c>
      <c r="AR45" s="75" t="s">
        <v>94</v>
      </c>
      <c r="AT45" s="75" t="s">
        <v>201</v>
      </c>
      <c r="AU45" s="75" t="s">
        <v>63</v>
      </c>
      <c r="AY45" s="47" t="s">
        <v>881</v>
      </c>
      <c r="BE45" s="76">
        <f t="shared" si="14"/>
        <v>0</v>
      </c>
      <c r="BF45" s="76">
        <f t="shared" si="15"/>
        <v>0</v>
      </c>
      <c r="BG45" s="76">
        <f t="shared" si="16"/>
        <v>0</v>
      </c>
      <c r="BH45" s="76">
        <f t="shared" si="17"/>
        <v>0</v>
      </c>
      <c r="BI45" s="76">
        <f t="shared" si="18"/>
        <v>0</v>
      </c>
      <c r="BJ45" s="47" t="s">
        <v>51</v>
      </c>
      <c r="BK45" s="76">
        <f t="shared" si="19"/>
        <v>0</v>
      </c>
      <c r="BL45" s="47" t="s">
        <v>71</v>
      </c>
      <c r="BM45" s="75" t="s">
        <v>1254</v>
      </c>
    </row>
    <row r="46" spans="3:65" s="48" customFormat="1" ht="24.15" customHeight="1">
      <c r="C46" s="85" t="s">
        <v>177</v>
      </c>
      <c r="D46" s="85" t="s">
        <v>201</v>
      </c>
      <c r="E46" s="86" t="s">
        <v>1255</v>
      </c>
      <c r="F46" s="87" t="s">
        <v>1256</v>
      </c>
      <c r="G46" s="88" t="s">
        <v>260</v>
      </c>
      <c r="H46" s="89">
        <v>10</v>
      </c>
      <c r="I46" s="528"/>
      <c r="J46" s="90">
        <f t="shared" si="10"/>
        <v>0</v>
      </c>
      <c r="K46" s="522"/>
      <c r="L46" s="533" t="s">
        <v>2474</v>
      </c>
      <c r="M46" s="531" t="s">
        <v>854</v>
      </c>
      <c r="N46" s="78" t="s">
        <v>860</v>
      </c>
      <c r="O46" s="73">
        <v>0</v>
      </c>
      <c r="P46" s="73">
        <f t="shared" si="11"/>
        <v>0</v>
      </c>
      <c r="Q46" s="73">
        <v>0.068</v>
      </c>
      <c r="R46" s="73">
        <f t="shared" si="12"/>
        <v>0.68</v>
      </c>
      <c r="S46" s="73">
        <v>0</v>
      </c>
      <c r="T46" s="74">
        <f t="shared" si="13"/>
        <v>0</v>
      </c>
      <c r="AR46" s="75" t="s">
        <v>94</v>
      </c>
      <c r="AT46" s="75" t="s">
        <v>201</v>
      </c>
      <c r="AU46" s="75" t="s">
        <v>63</v>
      </c>
      <c r="AY46" s="47" t="s">
        <v>881</v>
      </c>
      <c r="BE46" s="76">
        <f t="shared" si="14"/>
        <v>0</v>
      </c>
      <c r="BF46" s="76">
        <f t="shared" si="15"/>
        <v>0</v>
      </c>
      <c r="BG46" s="76">
        <f t="shared" si="16"/>
        <v>0</v>
      </c>
      <c r="BH46" s="76">
        <f t="shared" si="17"/>
        <v>0</v>
      </c>
      <c r="BI46" s="76">
        <f t="shared" si="18"/>
        <v>0</v>
      </c>
      <c r="BJ46" s="47" t="s">
        <v>51</v>
      </c>
      <c r="BK46" s="76">
        <f t="shared" si="19"/>
        <v>0</v>
      </c>
      <c r="BL46" s="47" t="s">
        <v>71</v>
      </c>
      <c r="BM46" s="75" t="s">
        <v>1257</v>
      </c>
    </row>
    <row r="47" spans="3:65" s="48" customFormat="1" ht="24.15" customHeight="1">
      <c r="C47" s="85" t="s">
        <v>181</v>
      </c>
      <c r="D47" s="85" t="s">
        <v>201</v>
      </c>
      <c r="E47" s="86" t="s">
        <v>1258</v>
      </c>
      <c r="F47" s="87" t="s">
        <v>1259</v>
      </c>
      <c r="G47" s="88" t="s">
        <v>260</v>
      </c>
      <c r="H47" s="89">
        <v>5</v>
      </c>
      <c r="I47" s="528"/>
      <c r="J47" s="90">
        <f t="shared" si="10"/>
        <v>0</v>
      </c>
      <c r="K47" s="522"/>
      <c r="L47" s="533" t="s">
        <v>2474</v>
      </c>
      <c r="M47" s="531" t="s">
        <v>854</v>
      </c>
      <c r="N47" s="78" t="s">
        <v>860</v>
      </c>
      <c r="O47" s="73">
        <v>0</v>
      </c>
      <c r="P47" s="73">
        <f t="shared" si="11"/>
        <v>0</v>
      </c>
      <c r="Q47" s="73">
        <v>0.081</v>
      </c>
      <c r="R47" s="73">
        <f t="shared" si="12"/>
        <v>0.405</v>
      </c>
      <c r="S47" s="73">
        <v>0</v>
      </c>
      <c r="T47" s="74">
        <f t="shared" si="13"/>
        <v>0</v>
      </c>
      <c r="AR47" s="75" t="s">
        <v>94</v>
      </c>
      <c r="AT47" s="75" t="s">
        <v>201</v>
      </c>
      <c r="AU47" s="75" t="s">
        <v>63</v>
      </c>
      <c r="AY47" s="47" t="s">
        <v>881</v>
      </c>
      <c r="BE47" s="76">
        <f t="shared" si="14"/>
        <v>0</v>
      </c>
      <c r="BF47" s="76">
        <f t="shared" si="15"/>
        <v>0</v>
      </c>
      <c r="BG47" s="76">
        <f t="shared" si="16"/>
        <v>0</v>
      </c>
      <c r="BH47" s="76">
        <f t="shared" si="17"/>
        <v>0</v>
      </c>
      <c r="BI47" s="76">
        <f t="shared" si="18"/>
        <v>0</v>
      </c>
      <c r="BJ47" s="47" t="s">
        <v>51</v>
      </c>
      <c r="BK47" s="76">
        <f t="shared" si="19"/>
        <v>0</v>
      </c>
      <c r="BL47" s="47" t="s">
        <v>71</v>
      </c>
      <c r="BM47" s="75" t="s">
        <v>1260</v>
      </c>
    </row>
    <row r="48" spans="3:65" s="48" customFormat="1" ht="24.15" customHeight="1">
      <c r="C48" s="85" t="s">
        <v>187</v>
      </c>
      <c r="D48" s="85" t="s">
        <v>201</v>
      </c>
      <c r="E48" s="86" t="s">
        <v>1261</v>
      </c>
      <c r="F48" s="87" t="s">
        <v>1262</v>
      </c>
      <c r="G48" s="88" t="s">
        <v>260</v>
      </c>
      <c r="H48" s="89">
        <v>13</v>
      </c>
      <c r="I48" s="528"/>
      <c r="J48" s="90">
        <f t="shared" si="10"/>
        <v>0</v>
      </c>
      <c r="K48" s="522"/>
      <c r="L48" s="533" t="s">
        <v>2474</v>
      </c>
      <c r="M48" s="531" t="s">
        <v>854</v>
      </c>
      <c r="N48" s="78" t="s">
        <v>860</v>
      </c>
      <c r="O48" s="73">
        <v>0</v>
      </c>
      <c r="P48" s="73">
        <f t="shared" si="11"/>
        <v>0</v>
      </c>
      <c r="Q48" s="73">
        <v>1.614</v>
      </c>
      <c r="R48" s="73">
        <f t="shared" si="12"/>
        <v>20.982000000000003</v>
      </c>
      <c r="S48" s="73">
        <v>0</v>
      </c>
      <c r="T48" s="74">
        <f t="shared" si="13"/>
        <v>0</v>
      </c>
      <c r="AR48" s="75" t="s">
        <v>94</v>
      </c>
      <c r="AT48" s="75" t="s">
        <v>201</v>
      </c>
      <c r="AU48" s="75" t="s">
        <v>63</v>
      </c>
      <c r="AY48" s="47" t="s">
        <v>881</v>
      </c>
      <c r="BE48" s="76">
        <f t="shared" si="14"/>
        <v>0</v>
      </c>
      <c r="BF48" s="76">
        <f t="shared" si="15"/>
        <v>0</v>
      </c>
      <c r="BG48" s="76">
        <f t="shared" si="16"/>
        <v>0</v>
      </c>
      <c r="BH48" s="76">
        <f t="shared" si="17"/>
        <v>0</v>
      </c>
      <c r="BI48" s="76">
        <f t="shared" si="18"/>
        <v>0</v>
      </c>
      <c r="BJ48" s="47" t="s">
        <v>51</v>
      </c>
      <c r="BK48" s="76">
        <f t="shared" si="19"/>
        <v>0</v>
      </c>
      <c r="BL48" s="47" t="s">
        <v>71</v>
      </c>
      <c r="BM48" s="75" t="s">
        <v>1263</v>
      </c>
    </row>
    <row r="49" spans="3:65" s="48" customFormat="1" ht="24.15" customHeight="1">
      <c r="C49" s="79" t="s">
        <v>198</v>
      </c>
      <c r="D49" s="79" t="s">
        <v>883</v>
      </c>
      <c r="E49" s="80" t="s">
        <v>1264</v>
      </c>
      <c r="F49" s="81" t="s">
        <v>1265</v>
      </c>
      <c r="G49" s="82" t="s">
        <v>260</v>
      </c>
      <c r="H49" s="83">
        <v>3</v>
      </c>
      <c r="I49" s="527"/>
      <c r="J49" s="84">
        <f t="shared" si="10"/>
        <v>0</v>
      </c>
      <c r="K49" s="521"/>
      <c r="L49" s="533" t="s">
        <v>2474</v>
      </c>
      <c r="M49" s="530" t="s">
        <v>854</v>
      </c>
      <c r="N49" s="72" t="s">
        <v>860</v>
      </c>
      <c r="O49" s="73">
        <v>1</v>
      </c>
      <c r="P49" s="73">
        <f t="shared" si="11"/>
        <v>3</v>
      </c>
      <c r="Q49" s="73">
        <v>0.00016</v>
      </c>
      <c r="R49" s="73">
        <f t="shared" si="12"/>
        <v>0.00048000000000000007</v>
      </c>
      <c r="S49" s="73">
        <v>0</v>
      </c>
      <c r="T49" s="74">
        <f t="shared" si="13"/>
        <v>0</v>
      </c>
      <c r="AR49" s="75" t="s">
        <v>71</v>
      </c>
      <c r="AT49" s="75" t="s">
        <v>883</v>
      </c>
      <c r="AU49" s="75" t="s">
        <v>63</v>
      </c>
      <c r="AY49" s="47" t="s">
        <v>881</v>
      </c>
      <c r="BE49" s="76">
        <f t="shared" si="14"/>
        <v>0</v>
      </c>
      <c r="BF49" s="76">
        <f t="shared" si="15"/>
        <v>0</v>
      </c>
      <c r="BG49" s="76">
        <f t="shared" si="16"/>
        <v>0</v>
      </c>
      <c r="BH49" s="76">
        <f t="shared" si="17"/>
        <v>0</v>
      </c>
      <c r="BI49" s="76">
        <f t="shared" si="18"/>
        <v>0</v>
      </c>
      <c r="BJ49" s="47" t="s">
        <v>51</v>
      </c>
      <c r="BK49" s="76">
        <f t="shared" si="19"/>
        <v>0</v>
      </c>
      <c r="BL49" s="47" t="s">
        <v>71</v>
      </c>
      <c r="BM49" s="75" t="s">
        <v>1266</v>
      </c>
    </row>
    <row r="50" spans="3:65" s="48" customFormat="1" ht="24.15" customHeight="1">
      <c r="C50" s="85" t="s">
        <v>206</v>
      </c>
      <c r="D50" s="85" t="s">
        <v>201</v>
      </c>
      <c r="E50" s="86" t="s">
        <v>1267</v>
      </c>
      <c r="F50" s="87" t="s">
        <v>1268</v>
      </c>
      <c r="G50" s="88" t="s">
        <v>260</v>
      </c>
      <c r="H50" s="89">
        <v>3</v>
      </c>
      <c r="I50" s="528"/>
      <c r="J50" s="90">
        <f t="shared" si="10"/>
        <v>0</v>
      </c>
      <c r="K50" s="522"/>
      <c r="L50" s="533" t="s">
        <v>2474</v>
      </c>
      <c r="M50" s="531" t="s">
        <v>854</v>
      </c>
      <c r="N50" s="78" t="s">
        <v>860</v>
      </c>
      <c r="O50" s="73">
        <v>0</v>
      </c>
      <c r="P50" s="73">
        <f t="shared" si="11"/>
        <v>0</v>
      </c>
      <c r="Q50" s="73">
        <v>0.086</v>
      </c>
      <c r="R50" s="73">
        <f t="shared" si="12"/>
        <v>0.258</v>
      </c>
      <c r="S50" s="73">
        <v>0</v>
      </c>
      <c r="T50" s="74">
        <f t="shared" si="13"/>
        <v>0</v>
      </c>
      <c r="AR50" s="75" t="s">
        <v>94</v>
      </c>
      <c r="AT50" s="75" t="s">
        <v>201</v>
      </c>
      <c r="AU50" s="75" t="s">
        <v>63</v>
      </c>
      <c r="AY50" s="47" t="s">
        <v>881</v>
      </c>
      <c r="BE50" s="76">
        <f t="shared" si="14"/>
        <v>0</v>
      </c>
      <c r="BF50" s="76">
        <f t="shared" si="15"/>
        <v>0</v>
      </c>
      <c r="BG50" s="76">
        <f t="shared" si="16"/>
        <v>0</v>
      </c>
      <c r="BH50" s="76">
        <f t="shared" si="17"/>
        <v>0</v>
      </c>
      <c r="BI50" s="76">
        <f t="shared" si="18"/>
        <v>0</v>
      </c>
      <c r="BJ50" s="47" t="s">
        <v>51</v>
      </c>
      <c r="BK50" s="76">
        <f t="shared" si="19"/>
        <v>0</v>
      </c>
      <c r="BL50" s="47" t="s">
        <v>71</v>
      </c>
      <c r="BM50" s="75" t="s">
        <v>1269</v>
      </c>
    </row>
    <row r="51" spans="3:65" s="48" customFormat="1" ht="24.15" customHeight="1">
      <c r="C51" s="79" t="s">
        <v>211</v>
      </c>
      <c r="D51" s="79" t="s">
        <v>883</v>
      </c>
      <c r="E51" s="80" t="s">
        <v>1270</v>
      </c>
      <c r="F51" s="81" t="s">
        <v>1271</v>
      </c>
      <c r="G51" s="82" t="s">
        <v>260</v>
      </c>
      <c r="H51" s="83">
        <v>2</v>
      </c>
      <c r="I51" s="527"/>
      <c r="J51" s="84">
        <f t="shared" si="10"/>
        <v>0</v>
      </c>
      <c r="K51" s="521"/>
      <c r="L51" s="533" t="s">
        <v>2130</v>
      </c>
      <c r="M51" s="530" t="s">
        <v>854</v>
      </c>
      <c r="N51" s="72" t="s">
        <v>860</v>
      </c>
      <c r="O51" s="73">
        <v>14.201</v>
      </c>
      <c r="P51" s="73">
        <f t="shared" si="11"/>
        <v>28.402</v>
      </c>
      <c r="Q51" s="73">
        <v>2.25135</v>
      </c>
      <c r="R51" s="73">
        <f t="shared" si="12"/>
        <v>4.5027</v>
      </c>
      <c r="S51" s="73">
        <v>0</v>
      </c>
      <c r="T51" s="74">
        <f t="shared" si="13"/>
        <v>0</v>
      </c>
      <c r="AR51" s="75" t="s">
        <v>71</v>
      </c>
      <c r="AT51" s="75" t="s">
        <v>883</v>
      </c>
      <c r="AU51" s="75" t="s">
        <v>63</v>
      </c>
      <c r="AY51" s="47" t="s">
        <v>881</v>
      </c>
      <c r="BE51" s="76">
        <f t="shared" si="14"/>
        <v>0</v>
      </c>
      <c r="BF51" s="76">
        <f t="shared" si="15"/>
        <v>0</v>
      </c>
      <c r="BG51" s="76">
        <f t="shared" si="16"/>
        <v>0</v>
      </c>
      <c r="BH51" s="76">
        <f t="shared" si="17"/>
        <v>0</v>
      </c>
      <c r="BI51" s="76">
        <f t="shared" si="18"/>
        <v>0</v>
      </c>
      <c r="BJ51" s="47" t="s">
        <v>51</v>
      </c>
      <c r="BK51" s="76">
        <f t="shared" si="19"/>
        <v>0</v>
      </c>
      <c r="BL51" s="47" t="s">
        <v>71</v>
      </c>
      <c r="BM51" s="75" t="s">
        <v>1272</v>
      </c>
    </row>
    <row r="52" spans="3:65" s="48" customFormat="1" ht="24.15" customHeight="1">
      <c r="C52" s="79" t="s">
        <v>108</v>
      </c>
      <c r="D52" s="79" t="s">
        <v>883</v>
      </c>
      <c r="E52" s="80" t="s">
        <v>1273</v>
      </c>
      <c r="F52" s="81" t="s">
        <v>1274</v>
      </c>
      <c r="G52" s="82" t="s">
        <v>260</v>
      </c>
      <c r="H52" s="83">
        <v>13</v>
      </c>
      <c r="I52" s="527"/>
      <c r="J52" s="84">
        <f t="shared" si="10"/>
        <v>0</v>
      </c>
      <c r="K52" s="521"/>
      <c r="L52" s="533" t="s">
        <v>2474</v>
      </c>
      <c r="M52" s="530" t="s">
        <v>854</v>
      </c>
      <c r="N52" s="72" t="s">
        <v>860</v>
      </c>
      <c r="O52" s="73">
        <v>20.363</v>
      </c>
      <c r="P52" s="73">
        <f t="shared" si="11"/>
        <v>264.719</v>
      </c>
      <c r="Q52" s="73">
        <v>2.35574</v>
      </c>
      <c r="R52" s="73">
        <f t="shared" si="12"/>
        <v>30.62462</v>
      </c>
      <c r="S52" s="73">
        <v>0</v>
      </c>
      <c r="T52" s="74">
        <f t="shared" si="13"/>
        <v>0</v>
      </c>
      <c r="AR52" s="75" t="s">
        <v>71</v>
      </c>
      <c r="AT52" s="75" t="s">
        <v>883</v>
      </c>
      <c r="AU52" s="75" t="s">
        <v>63</v>
      </c>
      <c r="AY52" s="47" t="s">
        <v>881</v>
      </c>
      <c r="BE52" s="76">
        <f t="shared" si="14"/>
        <v>0</v>
      </c>
      <c r="BF52" s="76">
        <f t="shared" si="15"/>
        <v>0</v>
      </c>
      <c r="BG52" s="76">
        <f t="shared" si="16"/>
        <v>0</v>
      </c>
      <c r="BH52" s="76">
        <f t="shared" si="17"/>
        <v>0</v>
      </c>
      <c r="BI52" s="76">
        <f t="shared" si="18"/>
        <v>0</v>
      </c>
      <c r="BJ52" s="47" t="s">
        <v>51</v>
      </c>
      <c r="BK52" s="76">
        <f t="shared" si="19"/>
        <v>0</v>
      </c>
      <c r="BL52" s="47" t="s">
        <v>71</v>
      </c>
      <c r="BM52" s="75" t="s">
        <v>1275</v>
      </c>
    </row>
    <row r="53" spans="3:65" s="48" customFormat="1" ht="24.15" customHeight="1">
      <c r="C53" s="79" t="s">
        <v>221</v>
      </c>
      <c r="D53" s="79" t="s">
        <v>883</v>
      </c>
      <c r="E53" s="80" t="s">
        <v>1276</v>
      </c>
      <c r="F53" s="81" t="s">
        <v>1277</v>
      </c>
      <c r="G53" s="82" t="s">
        <v>260</v>
      </c>
      <c r="H53" s="83">
        <v>2</v>
      </c>
      <c r="I53" s="527"/>
      <c r="J53" s="84">
        <f t="shared" si="10"/>
        <v>0</v>
      </c>
      <c r="K53" s="521"/>
      <c r="L53" s="533" t="s">
        <v>2474</v>
      </c>
      <c r="M53" s="530" t="s">
        <v>854</v>
      </c>
      <c r="N53" s="72" t="s">
        <v>860</v>
      </c>
      <c r="O53" s="73">
        <v>22.355</v>
      </c>
      <c r="P53" s="73">
        <f t="shared" si="11"/>
        <v>44.71</v>
      </c>
      <c r="Q53" s="73">
        <v>2.5082</v>
      </c>
      <c r="R53" s="73">
        <f t="shared" si="12"/>
        <v>5.0164</v>
      </c>
      <c r="S53" s="73">
        <v>0</v>
      </c>
      <c r="T53" s="74">
        <f t="shared" si="13"/>
        <v>0</v>
      </c>
      <c r="AR53" s="75" t="s">
        <v>71</v>
      </c>
      <c r="AT53" s="75" t="s">
        <v>883</v>
      </c>
      <c r="AU53" s="75" t="s">
        <v>63</v>
      </c>
      <c r="AY53" s="47" t="s">
        <v>881</v>
      </c>
      <c r="BE53" s="76">
        <f t="shared" si="14"/>
        <v>0</v>
      </c>
      <c r="BF53" s="76">
        <f t="shared" si="15"/>
        <v>0</v>
      </c>
      <c r="BG53" s="76">
        <f t="shared" si="16"/>
        <v>0</v>
      </c>
      <c r="BH53" s="76">
        <f t="shared" si="17"/>
        <v>0</v>
      </c>
      <c r="BI53" s="76">
        <f t="shared" si="18"/>
        <v>0</v>
      </c>
      <c r="BJ53" s="47" t="s">
        <v>51</v>
      </c>
      <c r="BK53" s="76">
        <f t="shared" si="19"/>
        <v>0</v>
      </c>
      <c r="BL53" s="47" t="s">
        <v>71</v>
      </c>
      <c r="BM53" s="75" t="s">
        <v>1278</v>
      </c>
    </row>
    <row r="54" spans="3:65" s="48" customFormat="1" ht="24.15" customHeight="1">
      <c r="C54" s="79" t="s">
        <v>226</v>
      </c>
      <c r="D54" s="79" t="s">
        <v>883</v>
      </c>
      <c r="E54" s="80" t="s">
        <v>1279</v>
      </c>
      <c r="F54" s="81" t="s">
        <v>1280</v>
      </c>
      <c r="G54" s="82" t="s">
        <v>260</v>
      </c>
      <c r="H54" s="83">
        <v>15</v>
      </c>
      <c r="I54" s="527"/>
      <c r="J54" s="84">
        <f t="shared" si="10"/>
        <v>0</v>
      </c>
      <c r="K54" s="521"/>
      <c r="L54" s="533" t="s">
        <v>2474</v>
      </c>
      <c r="M54" s="530" t="s">
        <v>854</v>
      </c>
      <c r="N54" s="72" t="s">
        <v>860</v>
      </c>
      <c r="O54" s="73">
        <v>1.694</v>
      </c>
      <c r="P54" s="73">
        <f t="shared" si="11"/>
        <v>25.41</v>
      </c>
      <c r="Q54" s="73">
        <v>0.21734</v>
      </c>
      <c r="R54" s="73">
        <f t="shared" si="12"/>
        <v>3.2601</v>
      </c>
      <c r="S54" s="73">
        <v>0</v>
      </c>
      <c r="T54" s="74">
        <f t="shared" si="13"/>
        <v>0</v>
      </c>
      <c r="AR54" s="75" t="s">
        <v>71</v>
      </c>
      <c r="AT54" s="75" t="s">
        <v>883</v>
      </c>
      <c r="AU54" s="75" t="s">
        <v>63</v>
      </c>
      <c r="AY54" s="47" t="s">
        <v>881</v>
      </c>
      <c r="BE54" s="76">
        <f t="shared" si="14"/>
        <v>0</v>
      </c>
      <c r="BF54" s="76">
        <f t="shared" si="15"/>
        <v>0</v>
      </c>
      <c r="BG54" s="76">
        <f t="shared" si="16"/>
        <v>0</v>
      </c>
      <c r="BH54" s="76">
        <f t="shared" si="17"/>
        <v>0</v>
      </c>
      <c r="BI54" s="76">
        <f t="shared" si="18"/>
        <v>0</v>
      </c>
      <c r="BJ54" s="47" t="s">
        <v>51</v>
      </c>
      <c r="BK54" s="76">
        <f t="shared" si="19"/>
        <v>0</v>
      </c>
      <c r="BL54" s="47" t="s">
        <v>71</v>
      </c>
      <c r="BM54" s="75" t="s">
        <v>1281</v>
      </c>
    </row>
    <row r="55" spans="3:65" s="48" customFormat="1" ht="16.5" customHeight="1">
      <c r="C55" s="85" t="s">
        <v>229</v>
      </c>
      <c r="D55" s="85" t="s">
        <v>201</v>
      </c>
      <c r="E55" s="86" t="s">
        <v>1282</v>
      </c>
      <c r="F55" s="87" t="s">
        <v>2481</v>
      </c>
      <c r="G55" s="88" t="s">
        <v>260</v>
      </c>
      <c r="H55" s="89">
        <v>15</v>
      </c>
      <c r="I55" s="528"/>
      <c r="J55" s="90">
        <f t="shared" si="10"/>
        <v>0</v>
      </c>
      <c r="K55" s="522"/>
      <c r="L55" s="533" t="s">
        <v>2130</v>
      </c>
      <c r="M55" s="531" t="s">
        <v>854</v>
      </c>
      <c r="N55" s="78" t="s">
        <v>860</v>
      </c>
      <c r="O55" s="73">
        <v>0</v>
      </c>
      <c r="P55" s="73">
        <f t="shared" si="11"/>
        <v>0</v>
      </c>
      <c r="Q55" s="73">
        <v>0.156</v>
      </c>
      <c r="R55" s="73">
        <f t="shared" si="12"/>
        <v>2.34</v>
      </c>
      <c r="S55" s="73">
        <v>0</v>
      </c>
      <c r="T55" s="74">
        <f t="shared" si="13"/>
        <v>0</v>
      </c>
      <c r="AR55" s="75" t="s">
        <v>94</v>
      </c>
      <c r="AT55" s="75" t="s">
        <v>201</v>
      </c>
      <c r="AU55" s="75" t="s">
        <v>63</v>
      </c>
      <c r="AY55" s="47" t="s">
        <v>881</v>
      </c>
      <c r="BE55" s="76">
        <f t="shared" si="14"/>
        <v>0</v>
      </c>
      <c r="BF55" s="76">
        <f t="shared" si="15"/>
        <v>0</v>
      </c>
      <c r="BG55" s="76">
        <f t="shared" si="16"/>
        <v>0</v>
      </c>
      <c r="BH55" s="76">
        <f t="shared" si="17"/>
        <v>0</v>
      </c>
      <c r="BI55" s="76">
        <f t="shared" si="18"/>
        <v>0</v>
      </c>
      <c r="BJ55" s="47" t="s">
        <v>51</v>
      </c>
      <c r="BK55" s="76">
        <f t="shared" si="19"/>
        <v>0</v>
      </c>
      <c r="BL55" s="47" t="s">
        <v>71</v>
      </c>
      <c r="BM55" s="75" t="s">
        <v>1283</v>
      </c>
    </row>
    <row r="56" spans="3:65" s="48" customFormat="1" ht="24.15" customHeight="1">
      <c r="C56" s="79" t="s">
        <v>112</v>
      </c>
      <c r="D56" s="79" t="s">
        <v>883</v>
      </c>
      <c r="E56" s="80" t="s">
        <v>1284</v>
      </c>
      <c r="F56" s="81" t="s">
        <v>1285</v>
      </c>
      <c r="G56" s="82" t="s">
        <v>81</v>
      </c>
      <c r="H56" s="83">
        <v>183.4</v>
      </c>
      <c r="I56" s="527"/>
      <c r="J56" s="84">
        <f t="shared" si="10"/>
        <v>0</v>
      </c>
      <c r="K56" s="521"/>
      <c r="L56" s="533" t="s">
        <v>2474</v>
      </c>
      <c r="M56" s="530" t="s">
        <v>854</v>
      </c>
      <c r="N56" s="72" t="s">
        <v>860</v>
      </c>
      <c r="O56" s="73">
        <v>1.319</v>
      </c>
      <c r="P56" s="73">
        <f t="shared" si="11"/>
        <v>241.9046</v>
      </c>
      <c r="Q56" s="73">
        <v>0</v>
      </c>
      <c r="R56" s="73">
        <f t="shared" si="12"/>
        <v>0</v>
      </c>
      <c r="S56" s="73">
        <v>0</v>
      </c>
      <c r="T56" s="74">
        <f t="shared" si="13"/>
        <v>0</v>
      </c>
      <c r="AR56" s="75" t="s">
        <v>71</v>
      </c>
      <c r="AT56" s="75" t="s">
        <v>883</v>
      </c>
      <c r="AU56" s="75" t="s">
        <v>63</v>
      </c>
      <c r="AY56" s="47" t="s">
        <v>881</v>
      </c>
      <c r="BE56" s="76">
        <f t="shared" si="14"/>
        <v>0</v>
      </c>
      <c r="BF56" s="76">
        <f t="shared" si="15"/>
        <v>0</v>
      </c>
      <c r="BG56" s="76">
        <f t="shared" si="16"/>
        <v>0</v>
      </c>
      <c r="BH56" s="76">
        <f t="shared" si="17"/>
        <v>0</v>
      </c>
      <c r="BI56" s="76">
        <f t="shared" si="18"/>
        <v>0</v>
      </c>
      <c r="BJ56" s="47" t="s">
        <v>51</v>
      </c>
      <c r="BK56" s="76">
        <f t="shared" si="19"/>
        <v>0</v>
      </c>
      <c r="BL56" s="47" t="s">
        <v>71</v>
      </c>
      <c r="BM56" s="75" t="s">
        <v>1286</v>
      </c>
    </row>
    <row r="57" spans="4:63" s="64" customFormat="1" ht="22.95" customHeight="1">
      <c r="D57" s="65" t="s">
        <v>877</v>
      </c>
      <c r="E57" s="205" t="s">
        <v>1165</v>
      </c>
      <c r="F57" s="205" t="s">
        <v>1166</v>
      </c>
      <c r="J57" s="206">
        <f>BK57</f>
        <v>0</v>
      </c>
      <c r="P57" s="67">
        <f>P58</f>
        <v>311.327383</v>
      </c>
      <c r="R57" s="67">
        <f>R58</f>
        <v>0</v>
      </c>
      <c r="T57" s="68">
        <f>T58</f>
        <v>0</v>
      </c>
      <c r="AR57" s="65" t="s">
        <v>51</v>
      </c>
      <c r="AT57" s="69" t="s">
        <v>877</v>
      </c>
      <c r="AU57" s="69" t="s">
        <v>51</v>
      </c>
      <c r="AY57" s="65" t="s">
        <v>881</v>
      </c>
      <c r="BK57" s="70">
        <f>BK58</f>
        <v>0</v>
      </c>
    </row>
    <row r="58" spans="3:65" s="48" customFormat="1" ht="24.15" customHeight="1">
      <c r="C58" s="79" t="s">
        <v>237</v>
      </c>
      <c r="D58" s="79" t="s">
        <v>883</v>
      </c>
      <c r="E58" s="80" t="s">
        <v>1287</v>
      </c>
      <c r="F58" s="81" t="s">
        <v>1288</v>
      </c>
      <c r="G58" s="82" t="s">
        <v>125</v>
      </c>
      <c r="H58" s="83">
        <v>409.103</v>
      </c>
      <c r="I58" s="527"/>
      <c r="J58" s="84">
        <f>ROUND(I58*H58,2)</f>
        <v>0</v>
      </c>
      <c r="K58" s="521"/>
      <c r="L58" s="533" t="s">
        <v>2474</v>
      </c>
      <c r="M58" s="530" t="s">
        <v>854</v>
      </c>
      <c r="N58" s="72" t="s">
        <v>860</v>
      </c>
      <c r="O58" s="73">
        <v>0.761</v>
      </c>
      <c r="P58" s="73">
        <f>O58*H58</f>
        <v>311.327383</v>
      </c>
      <c r="Q58" s="73">
        <v>0</v>
      </c>
      <c r="R58" s="73">
        <f>Q58*H58</f>
        <v>0</v>
      </c>
      <c r="S58" s="73">
        <v>0</v>
      </c>
      <c r="T58" s="74">
        <f>S58*H58</f>
        <v>0</v>
      </c>
      <c r="AR58" s="75" t="s">
        <v>71</v>
      </c>
      <c r="AT58" s="75" t="s">
        <v>883</v>
      </c>
      <c r="AU58" s="75" t="s">
        <v>63</v>
      </c>
      <c r="AY58" s="47" t="s">
        <v>881</v>
      </c>
      <c r="BE58" s="76">
        <f>IF(N58="základní",J58,0)</f>
        <v>0</v>
      </c>
      <c r="BF58" s="76">
        <f>IF(N58="snížená",J58,0)</f>
        <v>0</v>
      </c>
      <c r="BG58" s="76">
        <f>IF(N58="zákl. přenesená",J58,0)</f>
        <v>0</v>
      </c>
      <c r="BH58" s="76">
        <f>IF(N58="sníž. přenesená",J58,0)</f>
        <v>0</v>
      </c>
      <c r="BI58" s="76">
        <f>IF(N58="nulová",J58,0)</f>
        <v>0</v>
      </c>
      <c r="BJ58" s="47" t="s">
        <v>51</v>
      </c>
      <c r="BK58" s="76">
        <f>ROUND(I58*H58,2)</f>
        <v>0</v>
      </c>
      <c r="BL58" s="47" t="s">
        <v>71</v>
      </c>
      <c r="BM58" s="75" t="s">
        <v>1289</v>
      </c>
    </row>
    <row r="59" spans="4:63" s="64" customFormat="1" ht="25.95" customHeight="1">
      <c r="D59" s="65" t="s">
        <v>877</v>
      </c>
      <c r="E59" s="203" t="s">
        <v>1170</v>
      </c>
      <c r="F59" s="203" t="s">
        <v>1171</v>
      </c>
      <c r="J59" s="204">
        <f>BK59</f>
        <v>0</v>
      </c>
      <c r="P59" s="67">
        <f>P60+P64</f>
        <v>0</v>
      </c>
      <c r="R59" s="67">
        <f>R60+R64</f>
        <v>0</v>
      </c>
      <c r="T59" s="68">
        <f>T60+T64</f>
        <v>0</v>
      </c>
      <c r="AR59" s="65" t="s">
        <v>78</v>
      </c>
      <c r="AT59" s="69" t="s">
        <v>877</v>
      </c>
      <c r="AU59" s="69" t="s">
        <v>880</v>
      </c>
      <c r="AY59" s="65" t="s">
        <v>881</v>
      </c>
      <c r="BK59" s="70">
        <f>BK60+BK64</f>
        <v>0</v>
      </c>
    </row>
    <row r="60" spans="4:63" s="64" customFormat="1" ht="22.95" customHeight="1">
      <c r="D60" s="65" t="s">
        <v>877</v>
      </c>
      <c r="E60" s="205" t="s">
        <v>1172</v>
      </c>
      <c r="F60" s="205" t="s">
        <v>1173</v>
      </c>
      <c r="J60" s="206">
        <f>BK60</f>
        <v>0</v>
      </c>
      <c r="P60" s="67">
        <f>SUM(P61:P63)</f>
        <v>0</v>
      </c>
      <c r="R60" s="67">
        <f>SUM(R61:R63)</f>
        <v>0</v>
      </c>
      <c r="T60" s="68">
        <f>SUM(T61:T63)</f>
        <v>0</v>
      </c>
      <c r="AR60" s="65" t="s">
        <v>78</v>
      </c>
      <c r="AT60" s="69" t="s">
        <v>877</v>
      </c>
      <c r="AU60" s="69" t="s">
        <v>51</v>
      </c>
      <c r="AY60" s="65" t="s">
        <v>881</v>
      </c>
      <c r="BK60" s="70">
        <f>SUM(BK61:BK63)</f>
        <v>0</v>
      </c>
    </row>
    <row r="61" spans="3:65" s="48" customFormat="1" ht="24.15" customHeight="1">
      <c r="C61" s="79" t="s">
        <v>243</v>
      </c>
      <c r="D61" s="79" t="s">
        <v>883</v>
      </c>
      <c r="E61" s="80" t="s">
        <v>1174</v>
      </c>
      <c r="F61" s="81" t="s">
        <v>1290</v>
      </c>
      <c r="G61" s="82" t="s">
        <v>1134</v>
      </c>
      <c r="H61" s="83">
        <v>1</v>
      </c>
      <c r="I61" s="527"/>
      <c r="J61" s="84">
        <f>ROUND(I61*H61,2)</f>
        <v>0</v>
      </c>
      <c r="K61" s="521"/>
      <c r="L61" s="533" t="s">
        <v>2474</v>
      </c>
      <c r="M61" s="530" t="s">
        <v>854</v>
      </c>
      <c r="N61" s="72" t="s">
        <v>860</v>
      </c>
      <c r="O61" s="73">
        <v>0</v>
      </c>
      <c r="P61" s="73">
        <f>O61*H61</f>
        <v>0</v>
      </c>
      <c r="Q61" s="73">
        <v>0</v>
      </c>
      <c r="R61" s="73">
        <f>Q61*H61</f>
        <v>0</v>
      </c>
      <c r="S61" s="73">
        <v>0</v>
      </c>
      <c r="T61" s="74">
        <f>S61*H61</f>
        <v>0</v>
      </c>
      <c r="AR61" s="75" t="s">
        <v>1176</v>
      </c>
      <c r="AT61" s="75" t="s">
        <v>883</v>
      </c>
      <c r="AU61" s="75" t="s">
        <v>63</v>
      </c>
      <c r="AY61" s="47" t="s">
        <v>881</v>
      </c>
      <c r="BE61" s="76">
        <f>IF(N61="základní",J61,0)</f>
        <v>0</v>
      </c>
      <c r="BF61" s="76">
        <f>IF(N61="snížená",J61,0)</f>
        <v>0</v>
      </c>
      <c r="BG61" s="76">
        <f>IF(N61="zákl. přenesená",J61,0)</f>
        <v>0</v>
      </c>
      <c r="BH61" s="76">
        <f>IF(N61="sníž. přenesená",J61,0)</f>
        <v>0</v>
      </c>
      <c r="BI61" s="76">
        <f>IF(N61="nulová",J61,0)</f>
        <v>0</v>
      </c>
      <c r="BJ61" s="47" t="s">
        <v>51</v>
      </c>
      <c r="BK61" s="76">
        <f>ROUND(I61*H61,2)</f>
        <v>0</v>
      </c>
      <c r="BL61" s="47" t="s">
        <v>1176</v>
      </c>
      <c r="BM61" s="75" t="s">
        <v>1291</v>
      </c>
    </row>
    <row r="62" spans="3:65" s="48" customFormat="1" ht="21.75" customHeight="1">
      <c r="C62" s="79" t="s">
        <v>144</v>
      </c>
      <c r="D62" s="79" t="s">
        <v>883</v>
      </c>
      <c r="E62" s="80" t="s">
        <v>1178</v>
      </c>
      <c r="F62" s="81" t="s">
        <v>1292</v>
      </c>
      <c r="G62" s="82" t="s">
        <v>1134</v>
      </c>
      <c r="H62" s="83">
        <v>1</v>
      </c>
      <c r="I62" s="527"/>
      <c r="J62" s="84">
        <f>ROUND(I62*H62,2)</f>
        <v>0</v>
      </c>
      <c r="K62" s="521"/>
      <c r="L62" s="533" t="s">
        <v>2474</v>
      </c>
      <c r="M62" s="530" t="s">
        <v>854</v>
      </c>
      <c r="N62" s="72" t="s">
        <v>860</v>
      </c>
      <c r="O62" s="73">
        <v>0</v>
      </c>
      <c r="P62" s="73">
        <f>O62*H62</f>
        <v>0</v>
      </c>
      <c r="Q62" s="73">
        <v>0</v>
      </c>
      <c r="R62" s="73">
        <f>Q62*H62</f>
        <v>0</v>
      </c>
      <c r="S62" s="73">
        <v>0</v>
      </c>
      <c r="T62" s="74">
        <f>S62*H62</f>
        <v>0</v>
      </c>
      <c r="AR62" s="75" t="s">
        <v>1176</v>
      </c>
      <c r="AT62" s="75" t="s">
        <v>883</v>
      </c>
      <c r="AU62" s="75" t="s">
        <v>63</v>
      </c>
      <c r="AY62" s="47" t="s">
        <v>881</v>
      </c>
      <c r="BE62" s="76">
        <f>IF(N62="základní",J62,0)</f>
        <v>0</v>
      </c>
      <c r="BF62" s="76">
        <f>IF(N62="snížená",J62,0)</f>
        <v>0</v>
      </c>
      <c r="BG62" s="76">
        <f>IF(N62="zákl. přenesená",J62,0)</f>
        <v>0</v>
      </c>
      <c r="BH62" s="76">
        <f>IF(N62="sníž. přenesená",J62,0)</f>
        <v>0</v>
      </c>
      <c r="BI62" s="76">
        <f>IF(N62="nulová",J62,0)</f>
        <v>0</v>
      </c>
      <c r="BJ62" s="47" t="s">
        <v>51</v>
      </c>
      <c r="BK62" s="76">
        <f>ROUND(I62*H62,2)</f>
        <v>0</v>
      </c>
      <c r="BL62" s="47" t="s">
        <v>1176</v>
      </c>
      <c r="BM62" s="75" t="s">
        <v>1293</v>
      </c>
    </row>
    <row r="63" spans="3:65" s="48" customFormat="1" ht="16.5" customHeight="1">
      <c r="C63" s="79" t="s">
        <v>250</v>
      </c>
      <c r="D63" s="79" t="s">
        <v>883</v>
      </c>
      <c r="E63" s="80" t="s">
        <v>1181</v>
      </c>
      <c r="F63" s="81" t="s">
        <v>1182</v>
      </c>
      <c r="G63" s="82" t="s">
        <v>1134</v>
      </c>
      <c r="H63" s="83">
        <v>1</v>
      </c>
      <c r="I63" s="527"/>
      <c r="J63" s="84">
        <f>ROUND(I63*H63,2)</f>
        <v>0</v>
      </c>
      <c r="K63" s="521"/>
      <c r="L63" s="533" t="s">
        <v>2474</v>
      </c>
      <c r="M63" s="530" t="s">
        <v>854</v>
      </c>
      <c r="N63" s="72" t="s">
        <v>860</v>
      </c>
      <c r="O63" s="73">
        <v>0</v>
      </c>
      <c r="P63" s="73">
        <f>O63*H63</f>
        <v>0</v>
      </c>
      <c r="Q63" s="73">
        <v>0</v>
      </c>
      <c r="R63" s="73">
        <f>Q63*H63</f>
        <v>0</v>
      </c>
      <c r="S63" s="73">
        <v>0</v>
      </c>
      <c r="T63" s="74">
        <f>S63*H63</f>
        <v>0</v>
      </c>
      <c r="AR63" s="75" t="s">
        <v>1176</v>
      </c>
      <c r="AT63" s="75" t="s">
        <v>883</v>
      </c>
      <c r="AU63" s="75" t="s">
        <v>63</v>
      </c>
      <c r="AY63" s="47" t="s">
        <v>881</v>
      </c>
      <c r="BE63" s="76">
        <f>IF(N63="základní",J63,0)</f>
        <v>0</v>
      </c>
      <c r="BF63" s="76">
        <f>IF(N63="snížená",J63,0)</f>
        <v>0</v>
      </c>
      <c r="BG63" s="76">
        <f>IF(N63="zákl. přenesená",J63,0)</f>
        <v>0</v>
      </c>
      <c r="BH63" s="76">
        <f>IF(N63="sníž. přenesená",J63,0)</f>
        <v>0</v>
      </c>
      <c r="BI63" s="76">
        <f>IF(N63="nulová",J63,0)</f>
        <v>0</v>
      </c>
      <c r="BJ63" s="47" t="s">
        <v>51</v>
      </c>
      <c r="BK63" s="76">
        <f>ROUND(I63*H63,2)</f>
        <v>0</v>
      </c>
      <c r="BL63" s="47" t="s">
        <v>1176</v>
      </c>
      <c r="BM63" s="75" t="s">
        <v>1294</v>
      </c>
    </row>
    <row r="64" spans="4:63" s="64" customFormat="1" ht="22.95" customHeight="1">
      <c r="D64" s="65" t="s">
        <v>877</v>
      </c>
      <c r="E64" s="205" t="s">
        <v>1184</v>
      </c>
      <c r="F64" s="205" t="s">
        <v>1185</v>
      </c>
      <c r="J64" s="206">
        <f>BK64</f>
        <v>0</v>
      </c>
      <c r="P64" s="67">
        <f>P65</f>
        <v>0</v>
      </c>
      <c r="R64" s="67">
        <f>R65</f>
        <v>0</v>
      </c>
      <c r="T64" s="68">
        <f>T65</f>
        <v>0</v>
      </c>
      <c r="AR64" s="65" t="s">
        <v>78</v>
      </c>
      <c r="AT64" s="69" t="s">
        <v>877</v>
      </c>
      <c r="AU64" s="69" t="s">
        <v>51</v>
      </c>
      <c r="AY64" s="65" t="s">
        <v>881</v>
      </c>
      <c r="BK64" s="70">
        <f>BK65</f>
        <v>0</v>
      </c>
    </row>
    <row r="65" spans="3:65" s="48" customFormat="1" ht="16.5" customHeight="1">
      <c r="C65" s="79" t="s">
        <v>253</v>
      </c>
      <c r="D65" s="79" t="s">
        <v>883</v>
      </c>
      <c r="E65" s="80" t="s">
        <v>1186</v>
      </c>
      <c r="F65" s="81" t="s">
        <v>1295</v>
      </c>
      <c r="G65" s="82" t="s">
        <v>1134</v>
      </c>
      <c r="H65" s="83">
        <v>1</v>
      </c>
      <c r="I65" s="527"/>
      <c r="J65" s="84">
        <f>ROUND(I65*H65,2)</f>
        <v>0</v>
      </c>
      <c r="K65" s="521"/>
      <c r="L65" s="533" t="s">
        <v>2474</v>
      </c>
      <c r="M65" s="532" t="s">
        <v>854</v>
      </c>
      <c r="N65" s="92" t="s">
        <v>860</v>
      </c>
      <c r="O65" s="93">
        <v>0</v>
      </c>
      <c r="P65" s="93">
        <f>O65*H65</f>
        <v>0</v>
      </c>
      <c r="Q65" s="93">
        <v>0</v>
      </c>
      <c r="R65" s="93">
        <f>Q65*H65</f>
        <v>0</v>
      </c>
      <c r="S65" s="93">
        <v>0</v>
      </c>
      <c r="T65" s="94">
        <f>S65*H65</f>
        <v>0</v>
      </c>
      <c r="AR65" s="75" t="s">
        <v>1176</v>
      </c>
      <c r="AT65" s="75" t="s">
        <v>883</v>
      </c>
      <c r="AU65" s="75" t="s">
        <v>63</v>
      </c>
      <c r="AY65" s="47" t="s">
        <v>881</v>
      </c>
      <c r="BE65" s="76">
        <f>IF(N65="základní",J65,0)</f>
        <v>0</v>
      </c>
      <c r="BF65" s="76">
        <f>IF(N65="snížená",J65,0)</f>
        <v>0</v>
      </c>
      <c r="BG65" s="76">
        <f>IF(N65="zákl. přenesená",J65,0)</f>
        <v>0</v>
      </c>
      <c r="BH65" s="76">
        <f>IF(N65="sníž. přenesená",J65,0)</f>
        <v>0</v>
      </c>
      <c r="BI65" s="76">
        <f>IF(N65="nulová",J65,0)</f>
        <v>0</v>
      </c>
      <c r="BJ65" s="47" t="s">
        <v>51</v>
      </c>
      <c r="BK65" s="76">
        <f>ROUND(I65*H65,2)</f>
        <v>0</v>
      </c>
      <c r="BL65" s="47" t="s">
        <v>1176</v>
      </c>
      <c r="BM65" s="75" t="s">
        <v>1296</v>
      </c>
    </row>
    <row r="66" s="48" customFormat="1" ht="6.9" customHeight="1">
      <c r="K66" s="50"/>
    </row>
  </sheetData>
  <sheetProtection algorithmName="SHA-512" hashValue="BxFejyJTMBKt3eS653rBcBwfsu9Tu5vy+uW/U9XAr2EwCna+Ak+5QRLq+KBU+BLEICMdP9hbI+sjt5T0PlPIpg==" saltValue="hAKpp7WSG8bEVx8i93XbKA==" spinCount="100000" sheet="1" objects="1" scenarios="1"/>
  <mergeCells count="2">
    <mergeCell ref="E6:H6"/>
    <mergeCell ref="E8:H8"/>
  </mergeCells>
  <printOptions horizontalCentered="1"/>
  <pageMargins left="0.7086614173228347" right="0.7086614173228347" top="0.7874015748031497" bottom="0.7874015748031497" header="0.31496062992125984" footer="0.31496062992125984"/>
  <pageSetup fitToHeight="100" fitToWidth="1" horizontalDpi="600" verticalDpi="600" orientation="portrait" paperSize="9" scale="75"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1C6E3-4F06-43AF-A073-6D95F14231B9}">
  <sheetPr>
    <pageSetUpPr fitToPage="1"/>
  </sheetPr>
  <dimension ref="C2:BM73"/>
  <sheetViews>
    <sheetView showGridLines="0" view="pageBreakPreview" zoomScaleSheetLayoutView="100" workbookViewId="0" topLeftCell="A48">
      <selection activeCell="F50" sqref="F50"/>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10.14062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99" width="9.140625" style="0" hidden="1"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1408</v>
      </c>
      <c r="F6" s="646"/>
      <c r="G6" s="646"/>
      <c r="H6" s="646"/>
    </row>
    <row r="7" s="48" customFormat="1" ht="12" customHeight="1">
      <c r="C7" s="197" t="s">
        <v>852</v>
      </c>
    </row>
    <row r="8" spans="5:8" s="48" customFormat="1" ht="30" customHeight="1">
      <c r="E8" s="647" t="s">
        <v>1298</v>
      </c>
      <c r="F8" s="648"/>
      <c r="G8" s="648"/>
      <c r="H8" s="648"/>
    </row>
    <row r="9" s="48" customFormat="1" ht="6.9" customHeight="1"/>
    <row r="10" spans="3:10" s="48" customFormat="1" ht="12" customHeight="1">
      <c r="C10" s="197" t="s">
        <v>855</v>
      </c>
      <c r="F10" s="198"/>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35"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P17+P69</f>
        <v>2581.6138579999997</v>
      </c>
      <c r="Q16" s="49"/>
      <c r="R16" s="61">
        <f>R17+R69</f>
        <v>469.04885068</v>
      </c>
      <c r="S16" s="49"/>
      <c r="T16" s="62">
        <f>T17+T69</f>
        <v>0</v>
      </c>
      <c r="AT16" s="47" t="s">
        <v>877</v>
      </c>
      <c r="AU16" s="47" t="s">
        <v>863</v>
      </c>
      <c r="BK16" s="63">
        <f>BK17+BK69</f>
        <v>0</v>
      </c>
    </row>
    <row r="17" spans="4:63" s="64" customFormat="1" ht="25.95" customHeight="1">
      <c r="D17" s="65" t="s">
        <v>877</v>
      </c>
      <c r="E17" s="203" t="s">
        <v>878</v>
      </c>
      <c r="F17" s="203" t="s">
        <v>879</v>
      </c>
      <c r="J17" s="204">
        <f>BK17</f>
        <v>0</v>
      </c>
      <c r="P17" s="67">
        <f>P18+P37+P44+P48+P51+P63+P65</f>
        <v>2581.6138579999997</v>
      </c>
      <c r="R17" s="67">
        <f>R18+R37+R44+R48+R51+R63+R65</f>
        <v>469.04885068</v>
      </c>
      <c r="T17" s="68">
        <f>T18+T37+T44+T48+T51+T63+T65</f>
        <v>0</v>
      </c>
      <c r="AR17" s="65" t="s">
        <v>51</v>
      </c>
      <c r="AT17" s="69" t="s">
        <v>877</v>
      </c>
      <c r="AU17" s="69" t="s">
        <v>880</v>
      </c>
      <c r="AY17" s="65" t="s">
        <v>881</v>
      </c>
      <c r="BK17" s="70">
        <f>BK18+BK37+BK44+BK48+BK51+BK63+BK65</f>
        <v>0</v>
      </c>
    </row>
    <row r="18" spans="4:63" s="64" customFormat="1" ht="22.95" customHeight="1">
      <c r="D18" s="65" t="s">
        <v>877</v>
      </c>
      <c r="E18" s="205" t="s">
        <v>51</v>
      </c>
      <c r="F18" s="205" t="s">
        <v>882</v>
      </c>
      <c r="J18" s="206">
        <f>BK18</f>
        <v>0</v>
      </c>
      <c r="P18" s="67">
        <f>SUM(P19:P36)</f>
        <v>1528.4506199999998</v>
      </c>
      <c r="R18" s="67">
        <f>SUM(R19:R36)</f>
        <v>379.14090500000003</v>
      </c>
      <c r="T18" s="68">
        <f>SUM(T19:T36)</f>
        <v>0</v>
      </c>
      <c r="AR18" s="65" t="s">
        <v>51</v>
      </c>
      <c r="AT18" s="69" t="s">
        <v>877</v>
      </c>
      <c r="AU18" s="69" t="s">
        <v>51</v>
      </c>
      <c r="AY18" s="65" t="s">
        <v>881</v>
      </c>
      <c r="BK18" s="70">
        <f>SUM(BK19:BK36)</f>
        <v>0</v>
      </c>
    </row>
    <row r="19" spans="3:65" s="48" customFormat="1" ht="33" customHeight="1">
      <c r="C19" s="79" t="s">
        <v>51</v>
      </c>
      <c r="D19" s="79" t="s">
        <v>883</v>
      </c>
      <c r="E19" s="80" t="s">
        <v>1299</v>
      </c>
      <c r="F19" s="81" t="s">
        <v>1300</v>
      </c>
      <c r="G19" s="82" t="s">
        <v>81</v>
      </c>
      <c r="H19" s="83">
        <v>452.9</v>
      </c>
      <c r="I19" s="527"/>
      <c r="J19" s="84">
        <f aca="true" t="shared" si="0" ref="J19:J36">ROUND(I19*H19,2)</f>
        <v>0</v>
      </c>
      <c r="K19" s="521"/>
      <c r="L19" s="533" t="s">
        <v>2474</v>
      </c>
      <c r="M19" s="530" t="s">
        <v>854</v>
      </c>
      <c r="N19" s="72" t="s">
        <v>860</v>
      </c>
      <c r="O19" s="73">
        <v>0.496</v>
      </c>
      <c r="P19" s="73">
        <f aca="true" t="shared" si="1" ref="P19:P36">O19*H19</f>
        <v>224.6384</v>
      </c>
      <c r="Q19" s="73">
        <v>0</v>
      </c>
      <c r="R19" s="73">
        <f aca="true" t="shared" si="2" ref="R19:R36">Q19*H19</f>
        <v>0</v>
      </c>
      <c r="S19" s="73">
        <v>0</v>
      </c>
      <c r="T19" s="74">
        <f aca="true" t="shared" si="3" ref="T19:T36">S19*H19</f>
        <v>0</v>
      </c>
      <c r="AR19" s="75" t="s">
        <v>71</v>
      </c>
      <c r="AT19" s="75" t="s">
        <v>883</v>
      </c>
      <c r="AU19" s="75" t="s">
        <v>63</v>
      </c>
      <c r="AY19" s="47" t="s">
        <v>881</v>
      </c>
      <c r="BE19" s="76">
        <f aca="true" t="shared" si="4" ref="BE19:BE36">IF(N19="základní",J19,0)</f>
        <v>0</v>
      </c>
      <c r="BF19" s="76">
        <f aca="true" t="shared" si="5" ref="BF19:BF36">IF(N19="snížená",J19,0)</f>
        <v>0</v>
      </c>
      <c r="BG19" s="76">
        <f aca="true" t="shared" si="6" ref="BG19:BG36">IF(N19="zákl. přenesená",J19,0)</f>
        <v>0</v>
      </c>
      <c r="BH19" s="76">
        <f aca="true" t="shared" si="7" ref="BH19:BH36">IF(N19="sníž. přenesená",J19,0)</f>
        <v>0</v>
      </c>
      <c r="BI19" s="76">
        <f aca="true" t="shared" si="8" ref="BI19:BI36">IF(N19="nulová",J19,0)</f>
        <v>0</v>
      </c>
      <c r="BJ19" s="47" t="s">
        <v>51</v>
      </c>
      <c r="BK19" s="76">
        <f aca="true" t="shared" si="9" ref="BK19:BK36">ROUND(I19*H19,2)</f>
        <v>0</v>
      </c>
      <c r="BL19" s="47" t="s">
        <v>71</v>
      </c>
      <c r="BM19" s="75" t="s">
        <v>1301</v>
      </c>
    </row>
    <row r="20" spans="3:65" s="48" customFormat="1" ht="33" customHeight="1">
      <c r="C20" s="79" t="s">
        <v>63</v>
      </c>
      <c r="D20" s="79" t="s">
        <v>883</v>
      </c>
      <c r="E20" s="80" t="s">
        <v>1302</v>
      </c>
      <c r="F20" s="81" t="s">
        <v>1303</v>
      </c>
      <c r="G20" s="82" t="s">
        <v>81</v>
      </c>
      <c r="H20" s="83">
        <v>50</v>
      </c>
      <c r="I20" s="527"/>
      <c r="J20" s="84">
        <f t="shared" si="0"/>
        <v>0</v>
      </c>
      <c r="K20" s="521"/>
      <c r="L20" s="533" t="s">
        <v>2474</v>
      </c>
      <c r="M20" s="530" t="s">
        <v>854</v>
      </c>
      <c r="N20" s="72" t="s">
        <v>860</v>
      </c>
      <c r="O20" s="73">
        <v>3.386</v>
      </c>
      <c r="P20" s="73">
        <f t="shared" si="1"/>
        <v>169.3</v>
      </c>
      <c r="Q20" s="73">
        <v>0</v>
      </c>
      <c r="R20" s="73">
        <f t="shared" si="2"/>
        <v>0</v>
      </c>
      <c r="S20" s="73">
        <v>0</v>
      </c>
      <c r="T20" s="74">
        <f t="shared" si="3"/>
        <v>0</v>
      </c>
      <c r="AR20" s="75" t="s">
        <v>71</v>
      </c>
      <c r="AT20" s="75" t="s">
        <v>883</v>
      </c>
      <c r="AU20" s="75" t="s">
        <v>63</v>
      </c>
      <c r="AY20" s="47" t="s">
        <v>881</v>
      </c>
      <c r="BE20" s="76">
        <f t="shared" si="4"/>
        <v>0</v>
      </c>
      <c r="BF20" s="76">
        <f t="shared" si="5"/>
        <v>0</v>
      </c>
      <c r="BG20" s="76">
        <f t="shared" si="6"/>
        <v>0</v>
      </c>
      <c r="BH20" s="76">
        <f t="shared" si="7"/>
        <v>0</v>
      </c>
      <c r="BI20" s="76">
        <f t="shared" si="8"/>
        <v>0</v>
      </c>
      <c r="BJ20" s="47" t="s">
        <v>51</v>
      </c>
      <c r="BK20" s="76">
        <f t="shared" si="9"/>
        <v>0</v>
      </c>
      <c r="BL20" s="47" t="s">
        <v>71</v>
      </c>
      <c r="BM20" s="75" t="s">
        <v>1304</v>
      </c>
    </row>
    <row r="21" spans="3:65" s="48" customFormat="1" ht="37.95" customHeight="1">
      <c r="C21" s="79" t="s">
        <v>67</v>
      </c>
      <c r="D21" s="79" t="s">
        <v>883</v>
      </c>
      <c r="E21" s="80" t="s">
        <v>905</v>
      </c>
      <c r="F21" s="81" t="s">
        <v>906</v>
      </c>
      <c r="G21" s="82" t="s">
        <v>81</v>
      </c>
      <c r="H21" s="83">
        <v>279</v>
      </c>
      <c r="I21" s="527"/>
      <c r="J21" s="84">
        <f t="shared" si="0"/>
        <v>0</v>
      </c>
      <c r="K21" s="521"/>
      <c r="L21" s="533" t="s">
        <v>2474</v>
      </c>
      <c r="M21" s="530" t="s">
        <v>854</v>
      </c>
      <c r="N21" s="72" t="s">
        <v>860</v>
      </c>
      <c r="O21" s="73">
        <v>0.063</v>
      </c>
      <c r="P21" s="73">
        <f t="shared" si="1"/>
        <v>17.577</v>
      </c>
      <c r="Q21" s="73">
        <v>0</v>
      </c>
      <c r="R21" s="73">
        <f t="shared" si="2"/>
        <v>0</v>
      </c>
      <c r="S21" s="73">
        <v>0</v>
      </c>
      <c r="T21" s="74">
        <f t="shared" si="3"/>
        <v>0</v>
      </c>
      <c r="AR21" s="75" t="s">
        <v>71</v>
      </c>
      <c r="AT21" s="75" t="s">
        <v>883</v>
      </c>
      <c r="AU21" s="75" t="s">
        <v>63</v>
      </c>
      <c r="AY21" s="47" t="s">
        <v>881</v>
      </c>
      <c r="BE21" s="76">
        <f t="shared" si="4"/>
        <v>0</v>
      </c>
      <c r="BF21" s="76">
        <f t="shared" si="5"/>
        <v>0</v>
      </c>
      <c r="BG21" s="76">
        <f t="shared" si="6"/>
        <v>0</v>
      </c>
      <c r="BH21" s="76">
        <f t="shared" si="7"/>
        <v>0</v>
      </c>
      <c r="BI21" s="76">
        <f t="shared" si="8"/>
        <v>0</v>
      </c>
      <c r="BJ21" s="47" t="s">
        <v>51</v>
      </c>
      <c r="BK21" s="76">
        <f t="shared" si="9"/>
        <v>0</v>
      </c>
      <c r="BL21" s="47" t="s">
        <v>71</v>
      </c>
      <c r="BM21" s="75" t="s">
        <v>1305</v>
      </c>
    </row>
    <row r="22" spans="3:65" s="48" customFormat="1" ht="37.95" customHeight="1">
      <c r="C22" s="79" t="s">
        <v>71</v>
      </c>
      <c r="D22" s="79" t="s">
        <v>883</v>
      </c>
      <c r="E22" s="80" t="s">
        <v>908</v>
      </c>
      <c r="F22" s="81" t="s">
        <v>909</v>
      </c>
      <c r="G22" s="82" t="s">
        <v>81</v>
      </c>
      <c r="H22" s="83">
        <v>279</v>
      </c>
      <c r="I22" s="527"/>
      <c r="J22" s="84">
        <f t="shared" si="0"/>
        <v>0</v>
      </c>
      <c r="K22" s="521"/>
      <c r="L22" s="533" t="s">
        <v>2474</v>
      </c>
      <c r="M22" s="530" t="s">
        <v>854</v>
      </c>
      <c r="N22" s="72" t="s">
        <v>860</v>
      </c>
      <c r="O22" s="73">
        <v>0.005</v>
      </c>
      <c r="P22" s="73">
        <f t="shared" si="1"/>
        <v>1.395</v>
      </c>
      <c r="Q22" s="73">
        <v>0</v>
      </c>
      <c r="R22" s="73">
        <f t="shared" si="2"/>
        <v>0</v>
      </c>
      <c r="S22" s="73">
        <v>0</v>
      </c>
      <c r="T22" s="74">
        <f t="shared" si="3"/>
        <v>0</v>
      </c>
      <c r="AR22" s="75" t="s">
        <v>71</v>
      </c>
      <c r="AT22" s="75" t="s">
        <v>883</v>
      </c>
      <c r="AU22" s="75" t="s">
        <v>63</v>
      </c>
      <c r="AY22" s="47" t="s">
        <v>881</v>
      </c>
      <c r="BE22" s="76">
        <f t="shared" si="4"/>
        <v>0</v>
      </c>
      <c r="BF22" s="76">
        <f t="shared" si="5"/>
        <v>0</v>
      </c>
      <c r="BG22" s="76">
        <f t="shared" si="6"/>
        <v>0</v>
      </c>
      <c r="BH22" s="76">
        <f t="shared" si="7"/>
        <v>0</v>
      </c>
      <c r="BI22" s="76">
        <f t="shared" si="8"/>
        <v>0</v>
      </c>
      <c r="BJ22" s="47" t="s">
        <v>51</v>
      </c>
      <c r="BK22" s="76">
        <f t="shared" si="9"/>
        <v>0</v>
      </c>
      <c r="BL22" s="47" t="s">
        <v>71</v>
      </c>
      <c r="BM22" s="75" t="s">
        <v>1306</v>
      </c>
    </row>
    <row r="23" spans="3:65" s="48" customFormat="1" ht="24.15" customHeight="1">
      <c r="C23" s="79" t="s">
        <v>78</v>
      </c>
      <c r="D23" s="79" t="s">
        <v>883</v>
      </c>
      <c r="E23" s="80" t="s">
        <v>911</v>
      </c>
      <c r="F23" s="81" t="s">
        <v>912</v>
      </c>
      <c r="G23" s="82" t="s">
        <v>81</v>
      </c>
      <c r="H23" s="83">
        <v>299</v>
      </c>
      <c r="I23" s="527"/>
      <c r="J23" s="84">
        <f t="shared" si="0"/>
        <v>0</v>
      </c>
      <c r="K23" s="521"/>
      <c r="L23" s="533" t="s">
        <v>2474</v>
      </c>
      <c r="M23" s="530" t="s">
        <v>854</v>
      </c>
      <c r="N23" s="72" t="s">
        <v>860</v>
      </c>
      <c r="O23" s="73">
        <v>1.137</v>
      </c>
      <c r="P23" s="73">
        <f t="shared" si="1"/>
        <v>339.963</v>
      </c>
      <c r="Q23" s="73">
        <v>0</v>
      </c>
      <c r="R23" s="73">
        <f t="shared" si="2"/>
        <v>0</v>
      </c>
      <c r="S23" s="73">
        <v>0</v>
      </c>
      <c r="T23" s="74">
        <f t="shared" si="3"/>
        <v>0</v>
      </c>
      <c r="AR23" s="75" t="s">
        <v>71</v>
      </c>
      <c r="AT23" s="75" t="s">
        <v>883</v>
      </c>
      <c r="AU23" s="75" t="s">
        <v>63</v>
      </c>
      <c r="AY23" s="47" t="s">
        <v>881</v>
      </c>
      <c r="BE23" s="76">
        <f t="shared" si="4"/>
        <v>0</v>
      </c>
      <c r="BF23" s="76">
        <f t="shared" si="5"/>
        <v>0</v>
      </c>
      <c r="BG23" s="76">
        <f t="shared" si="6"/>
        <v>0</v>
      </c>
      <c r="BH23" s="76">
        <f t="shared" si="7"/>
        <v>0</v>
      </c>
      <c r="BI23" s="76">
        <f t="shared" si="8"/>
        <v>0</v>
      </c>
      <c r="BJ23" s="47" t="s">
        <v>51</v>
      </c>
      <c r="BK23" s="76">
        <f t="shared" si="9"/>
        <v>0</v>
      </c>
      <c r="BL23" s="47" t="s">
        <v>71</v>
      </c>
      <c r="BM23" s="75" t="s">
        <v>1307</v>
      </c>
    </row>
    <row r="24" spans="3:65" s="48" customFormat="1" ht="24.15" customHeight="1">
      <c r="C24" s="79" t="s">
        <v>85</v>
      </c>
      <c r="D24" s="79" t="s">
        <v>883</v>
      </c>
      <c r="E24" s="80" t="s">
        <v>914</v>
      </c>
      <c r="F24" s="81" t="s">
        <v>915</v>
      </c>
      <c r="G24" s="82" t="s">
        <v>125</v>
      </c>
      <c r="H24" s="83">
        <v>538.2</v>
      </c>
      <c r="I24" s="527"/>
      <c r="J24" s="84">
        <f t="shared" si="0"/>
        <v>0</v>
      </c>
      <c r="K24" s="521"/>
      <c r="L24" s="533" t="s">
        <v>2474</v>
      </c>
      <c r="M24" s="530" t="s">
        <v>854</v>
      </c>
      <c r="N24" s="72" t="s">
        <v>860</v>
      </c>
      <c r="O24" s="73">
        <v>0</v>
      </c>
      <c r="P24" s="73">
        <f t="shared" si="1"/>
        <v>0</v>
      </c>
      <c r="Q24" s="73">
        <v>0</v>
      </c>
      <c r="R24" s="73">
        <f t="shared" si="2"/>
        <v>0</v>
      </c>
      <c r="S24" s="73">
        <v>0</v>
      </c>
      <c r="T24" s="74">
        <f t="shared" si="3"/>
        <v>0</v>
      </c>
      <c r="AR24" s="75" t="s">
        <v>71</v>
      </c>
      <c r="AT24" s="75" t="s">
        <v>883</v>
      </c>
      <c r="AU24" s="75" t="s">
        <v>63</v>
      </c>
      <c r="AY24" s="47" t="s">
        <v>881</v>
      </c>
      <c r="BE24" s="76">
        <f t="shared" si="4"/>
        <v>0</v>
      </c>
      <c r="BF24" s="76">
        <f t="shared" si="5"/>
        <v>0</v>
      </c>
      <c r="BG24" s="76">
        <f t="shared" si="6"/>
        <v>0</v>
      </c>
      <c r="BH24" s="76">
        <f t="shared" si="7"/>
        <v>0</v>
      </c>
      <c r="BI24" s="76">
        <f t="shared" si="8"/>
        <v>0</v>
      </c>
      <c r="BJ24" s="47" t="s">
        <v>51</v>
      </c>
      <c r="BK24" s="76">
        <f t="shared" si="9"/>
        <v>0</v>
      </c>
      <c r="BL24" s="47" t="s">
        <v>71</v>
      </c>
      <c r="BM24" s="75" t="s">
        <v>1308</v>
      </c>
    </row>
    <row r="25" spans="3:65" s="48" customFormat="1" ht="24.15" customHeight="1">
      <c r="C25" s="79" t="s">
        <v>89</v>
      </c>
      <c r="D25" s="79" t="s">
        <v>883</v>
      </c>
      <c r="E25" s="80" t="s">
        <v>917</v>
      </c>
      <c r="F25" s="81" t="s">
        <v>918</v>
      </c>
      <c r="G25" s="82" t="s">
        <v>81</v>
      </c>
      <c r="H25" s="83">
        <v>173.9</v>
      </c>
      <c r="I25" s="527"/>
      <c r="J25" s="84">
        <f t="shared" si="0"/>
        <v>0</v>
      </c>
      <c r="K25" s="521"/>
      <c r="L25" s="533" t="s">
        <v>2474</v>
      </c>
      <c r="M25" s="530" t="s">
        <v>854</v>
      </c>
      <c r="N25" s="72" t="s">
        <v>860</v>
      </c>
      <c r="O25" s="73">
        <v>0.328</v>
      </c>
      <c r="P25" s="73">
        <f t="shared" si="1"/>
        <v>57.0392</v>
      </c>
      <c r="Q25" s="73">
        <v>0</v>
      </c>
      <c r="R25" s="73">
        <f t="shared" si="2"/>
        <v>0</v>
      </c>
      <c r="S25" s="73">
        <v>0</v>
      </c>
      <c r="T25" s="74">
        <f t="shared" si="3"/>
        <v>0</v>
      </c>
      <c r="AR25" s="75" t="s">
        <v>71</v>
      </c>
      <c r="AT25" s="75" t="s">
        <v>883</v>
      </c>
      <c r="AU25" s="75" t="s">
        <v>63</v>
      </c>
      <c r="AY25" s="47" t="s">
        <v>881</v>
      </c>
      <c r="BE25" s="76">
        <f t="shared" si="4"/>
        <v>0</v>
      </c>
      <c r="BF25" s="76">
        <f t="shared" si="5"/>
        <v>0</v>
      </c>
      <c r="BG25" s="76">
        <f t="shared" si="6"/>
        <v>0</v>
      </c>
      <c r="BH25" s="76">
        <f t="shared" si="7"/>
        <v>0</v>
      </c>
      <c r="BI25" s="76">
        <f t="shared" si="8"/>
        <v>0</v>
      </c>
      <c r="BJ25" s="47" t="s">
        <v>51</v>
      </c>
      <c r="BK25" s="76">
        <f t="shared" si="9"/>
        <v>0</v>
      </c>
      <c r="BL25" s="47" t="s">
        <v>71</v>
      </c>
      <c r="BM25" s="75" t="s">
        <v>1309</v>
      </c>
    </row>
    <row r="26" spans="3:65" s="48" customFormat="1" ht="24.15" customHeight="1">
      <c r="C26" s="79" t="s">
        <v>94</v>
      </c>
      <c r="D26" s="79" t="s">
        <v>883</v>
      </c>
      <c r="E26" s="80" t="s">
        <v>920</v>
      </c>
      <c r="F26" s="81" t="s">
        <v>921</v>
      </c>
      <c r="G26" s="82" t="s">
        <v>81</v>
      </c>
      <c r="H26" s="83">
        <v>8.58</v>
      </c>
      <c r="I26" s="527"/>
      <c r="J26" s="84">
        <f t="shared" si="0"/>
        <v>0</v>
      </c>
      <c r="K26" s="521"/>
      <c r="L26" s="533" t="s">
        <v>2474</v>
      </c>
      <c r="M26" s="530" t="s">
        <v>854</v>
      </c>
      <c r="N26" s="72" t="s">
        <v>860</v>
      </c>
      <c r="O26" s="73">
        <v>1.789</v>
      </c>
      <c r="P26" s="73">
        <f t="shared" si="1"/>
        <v>15.34962</v>
      </c>
      <c r="Q26" s="73">
        <v>0</v>
      </c>
      <c r="R26" s="73">
        <f t="shared" si="2"/>
        <v>0</v>
      </c>
      <c r="S26" s="73">
        <v>0</v>
      </c>
      <c r="T26" s="74">
        <f t="shared" si="3"/>
        <v>0</v>
      </c>
      <c r="AR26" s="75" t="s">
        <v>71</v>
      </c>
      <c r="AT26" s="75" t="s">
        <v>883</v>
      </c>
      <c r="AU26" s="75" t="s">
        <v>63</v>
      </c>
      <c r="AY26" s="47" t="s">
        <v>881</v>
      </c>
      <c r="BE26" s="76">
        <f t="shared" si="4"/>
        <v>0</v>
      </c>
      <c r="BF26" s="76">
        <f t="shared" si="5"/>
        <v>0</v>
      </c>
      <c r="BG26" s="76">
        <f t="shared" si="6"/>
        <v>0</v>
      </c>
      <c r="BH26" s="76">
        <f t="shared" si="7"/>
        <v>0</v>
      </c>
      <c r="BI26" s="76">
        <f t="shared" si="8"/>
        <v>0</v>
      </c>
      <c r="BJ26" s="47" t="s">
        <v>51</v>
      </c>
      <c r="BK26" s="76">
        <f t="shared" si="9"/>
        <v>0</v>
      </c>
      <c r="BL26" s="47" t="s">
        <v>71</v>
      </c>
      <c r="BM26" s="75" t="s">
        <v>1310</v>
      </c>
    </row>
    <row r="27" spans="3:65" s="48" customFormat="1" ht="16.5" customHeight="1">
      <c r="C27" s="85" t="s">
        <v>98</v>
      </c>
      <c r="D27" s="85" t="s">
        <v>201</v>
      </c>
      <c r="E27" s="86" t="s">
        <v>1217</v>
      </c>
      <c r="F27" s="87" t="s">
        <v>1218</v>
      </c>
      <c r="G27" s="88" t="s">
        <v>125</v>
      </c>
      <c r="H27" s="89">
        <v>15.444</v>
      </c>
      <c r="I27" s="528"/>
      <c r="J27" s="90">
        <f t="shared" si="0"/>
        <v>0</v>
      </c>
      <c r="K27" s="522"/>
      <c r="L27" s="533" t="s">
        <v>2474</v>
      </c>
      <c r="M27" s="531" t="s">
        <v>854</v>
      </c>
      <c r="N27" s="78" t="s">
        <v>860</v>
      </c>
      <c r="O27" s="73">
        <v>0</v>
      </c>
      <c r="P27" s="73">
        <f t="shared" si="1"/>
        <v>0</v>
      </c>
      <c r="Q27" s="73">
        <v>1</v>
      </c>
      <c r="R27" s="73">
        <f t="shared" si="2"/>
        <v>15.444</v>
      </c>
      <c r="S27" s="73">
        <v>0</v>
      </c>
      <c r="T27" s="74">
        <f t="shared" si="3"/>
        <v>0</v>
      </c>
      <c r="AR27" s="75" t="s">
        <v>94</v>
      </c>
      <c r="AT27" s="75" t="s">
        <v>201</v>
      </c>
      <c r="AU27" s="75" t="s">
        <v>63</v>
      </c>
      <c r="AY27" s="47" t="s">
        <v>881</v>
      </c>
      <c r="BE27" s="76">
        <f t="shared" si="4"/>
        <v>0</v>
      </c>
      <c r="BF27" s="76">
        <f t="shared" si="5"/>
        <v>0</v>
      </c>
      <c r="BG27" s="76">
        <f t="shared" si="6"/>
        <v>0</v>
      </c>
      <c r="BH27" s="76">
        <f t="shared" si="7"/>
        <v>0</v>
      </c>
      <c r="BI27" s="76">
        <f t="shared" si="8"/>
        <v>0</v>
      </c>
      <c r="BJ27" s="47" t="s">
        <v>51</v>
      </c>
      <c r="BK27" s="76">
        <f t="shared" si="9"/>
        <v>0</v>
      </c>
      <c r="BL27" s="47" t="s">
        <v>71</v>
      </c>
      <c r="BM27" s="75" t="s">
        <v>1311</v>
      </c>
    </row>
    <row r="28" spans="3:65" s="48" customFormat="1" ht="16.5" customHeight="1">
      <c r="C28" s="79" t="s">
        <v>104</v>
      </c>
      <c r="D28" s="79" t="s">
        <v>883</v>
      </c>
      <c r="E28" s="80" t="s">
        <v>1312</v>
      </c>
      <c r="F28" s="81" t="s">
        <v>1313</v>
      </c>
      <c r="G28" s="82" t="s">
        <v>81</v>
      </c>
      <c r="H28" s="83">
        <v>198.6</v>
      </c>
      <c r="I28" s="527"/>
      <c r="J28" s="84">
        <f t="shared" si="0"/>
        <v>0</v>
      </c>
      <c r="K28" s="521"/>
      <c r="L28" s="533" t="s">
        <v>2130</v>
      </c>
      <c r="M28" s="530" t="s">
        <v>854</v>
      </c>
      <c r="N28" s="72" t="s">
        <v>860</v>
      </c>
      <c r="O28" s="73">
        <v>0.943</v>
      </c>
      <c r="P28" s="73">
        <f t="shared" si="1"/>
        <v>187.2798</v>
      </c>
      <c r="Q28" s="73">
        <v>0</v>
      </c>
      <c r="R28" s="73">
        <f t="shared" si="2"/>
        <v>0</v>
      </c>
      <c r="S28" s="73">
        <v>0</v>
      </c>
      <c r="T28" s="74">
        <f t="shared" si="3"/>
        <v>0</v>
      </c>
      <c r="AR28" s="75" t="s">
        <v>71</v>
      </c>
      <c r="AT28" s="75" t="s">
        <v>883</v>
      </c>
      <c r="AU28" s="75" t="s">
        <v>63</v>
      </c>
      <c r="AY28" s="47" t="s">
        <v>881</v>
      </c>
      <c r="BE28" s="76">
        <f t="shared" si="4"/>
        <v>0</v>
      </c>
      <c r="BF28" s="76">
        <f t="shared" si="5"/>
        <v>0</v>
      </c>
      <c r="BG28" s="76">
        <f t="shared" si="6"/>
        <v>0</v>
      </c>
      <c r="BH28" s="76">
        <f t="shared" si="7"/>
        <v>0</v>
      </c>
      <c r="BI28" s="76">
        <f t="shared" si="8"/>
        <v>0</v>
      </c>
      <c r="BJ28" s="47" t="s">
        <v>51</v>
      </c>
      <c r="BK28" s="76">
        <f t="shared" si="9"/>
        <v>0</v>
      </c>
      <c r="BL28" s="47" t="s">
        <v>71</v>
      </c>
      <c r="BM28" s="75" t="s">
        <v>1314</v>
      </c>
    </row>
    <row r="29" spans="3:65" s="48" customFormat="1" ht="16.5" customHeight="1">
      <c r="C29" s="85" t="s">
        <v>49</v>
      </c>
      <c r="D29" s="85" t="s">
        <v>201</v>
      </c>
      <c r="E29" s="86" t="s">
        <v>1315</v>
      </c>
      <c r="F29" s="87" t="s">
        <v>1316</v>
      </c>
      <c r="G29" s="88" t="s">
        <v>125</v>
      </c>
      <c r="H29" s="89">
        <v>89.327</v>
      </c>
      <c r="I29" s="528"/>
      <c r="J29" s="90">
        <f t="shared" si="0"/>
        <v>0</v>
      </c>
      <c r="K29" s="522"/>
      <c r="L29" s="533" t="s">
        <v>2474</v>
      </c>
      <c r="M29" s="531" t="s">
        <v>854</v>
      </c>
      <c r="N29" s="78" t="s">
        <v>860</v>
      </c>
      <c r="O29" s="73">
        <v>0</v>
      </c>
      <c r="P29" s="73">
        <f t="shared" si="1"/>
        <v>0</v>
      </c>
      <c r="Q29" s="73">
        <v>1</v>
      </c>
      <c r="R29" s="73">
        <f t="shared" si="2"/>
        <v>89.327</v>
      </c>
      <c r="S29" s="73">
        <v>0</v>
      </c>
      <c r="T29" s="74">
        <f t="shared" si="3"/>
        <v>0</v>
      </c>
      <c r="AR29" s="75" t="s">
        <v>94</v>
      </c>
      <c r="AT29" s="75" t="s">
        <v>201</v>
      </c>
      <c r="AU29" s="75" t="s">
        <v>63</v>
      </c>
      <c r="AY29" s="47" t="s">
        <v>881</v>
      </c>
      <c r="BE29" s="76">
        <f t="shared" si="4"/>
        <v>0</v>
      </c>
      <c r="BF29" s="76">
        <f t="shared" si="5"/>
        <v>0</v>
      </c>
      <c r="BG29" s="76">
        <f t="shared" si="6"/>
        <v>0</v>
      </c>
      <c r="BH29" s="76">
        <f t="shared" si="7"/>
        <v>0</v>
      </c>
      <c r="BI29" s="76">
        <f t="shared" si="8"/>
        <v>0</v>
      </c>
      <c r="BJ29" s="47" t="s">
        <v>51</v>
      </c>
      <c r="BK29" s="76">
        <f t="shared" si="9"/>
        <v>0</v>
      </c>
      <c r="BL29" s="47" t="s">
        <v>71</v>
      </c>
      <c r="BM29" s="75" t="s">
        <v>1317</v>
      </c>
    </row>
    <row r="30" spans="3:65" s="48" customFormat="1" ht="16.5" customHeight="1">
      <c r="C30" s="85" t="s">
        <v>76</v>
      </c>
      <c r="D30" s="85" t="s">
        <v>201</v>
      </c>
      <c r="E30" s="86" t="s">
        <v>1318</v>
      </c>
      <c r="F30" s="87" t="s">
        <v>1319</v>
      </c>
      <c r="G30" s="88" t="s">
        <v>125</v>
      </c>
      <c r="H30" s="89">
        <v>24.1</v>
      </c>
      <c r="I30" s="528"/>
      <c r="J30" s="90">
        <f t="shared" si="0"/>
        <v>0</v>
      </c>
      <c r="K30" s="522"/>
      <c r="L30" s="533" t="s">
        <v>2474</v>
      </c>
      <c r="M30" s="531" t="s">
        <v>854</v>
      </c>
      <c r="N30" s="78" t="s">
        <v>860</v>
      </c>
      <c r="O30" s="73">
        <v>0</v>
      </c>
      <c r="P30" s="73">
        <f t="shared" si="1"/>
        <v>0</v>
      </c>
      <c r="Q30" s="73">
        <v>1</v>
      </c>
      <c r="R30" s="73">
        <f t="shared" si="2"/>
        <v>24.1</v>
      </c>
      <c r="S30" s="73">
        <v>0</v>
      </c>
      <c r="T30" s="74">
        <f t="shared" si="3"/>
        <v>0</v>
      </c>
      <c r="AR30" s="75" t="s">
        <v>94</v>
      </c>
      <c r="AT30" s="75" t="s">
        <v>201</v>
      </c>
      <c r="AU30" s="75" t="s">
        <v>63</v>
      </c>
      <c r="AY30" s="47" t="s">
        <v>881</v>
      </c>
      <c r="BE30" s="76">
        <f t="shared" si="4"/>
        <v>0</v>
      </c>
      <c r="BF30" s="76">
        <f t="shared" si="5"/>
        <v>0</v>
      </c>
      <c r="BG30" s="76">
        <f t="shared" si="6"/>
        <v>0</v>
      </c>
      <c r="BH30" s="76">
        <f t="shared" si="7"/>
        <v>0</v>
      </c>
      <c r="BI30" s="76">
        <f t="shared" si="8"/>
        <v>0</v>
      </c>
      <c r="BJ30" s="47" t="s">
        <v>51</v>
      </c>
      <c r="BK30" s="76">
        <f t="shared" si="9"/>
        <v>0</v>
      </c>
      <c r="BL30" s="47" t="s">
        <v>71</v>
      </c>
      <c r="BM30" s="75" t="s">
        <v>1320</v>
      </c>
    </row>
    <row r="31" spans="3:65" s="48" customFormat="1" ht="16.5" customHeight="1">
      <c r="C31" s="85" t="s">
        <v>75</v>
      </c>
      <c r="D31" s="85" t="s">
        <v>201</v>
      </c>
      <c r="E31" s="86" t="s">
        <v>1321</v>
      </c>
      <c r="F31" s="87" t="s">
        <v>1322</v>
      </c>
      <c r="G31" s="88" t="s">
        <v>125</v>
      </c>
      <c r="H31" s="89">
        <v>166.7</v>
      </c>
      <c r="I31" s="528"/>
      <c r="J31" s="90">
        <f t="shared" si="0"/>
        <v>0</v>
      </c>
      <c r="K31" s="522"/>
      <c r="L31" s="533" t="s">
        <v>2474</v>
      </c>
      <c r="M31" s="531" t="s">
        <v>854</v>
      </c>
      <c r="N31" s="78" t="s">
        <v>860</v>
      </c>
      <c r="O31" s="73">
        <v>0</v>
      </c>
      <c r="P31" s="73">
        <f t="shared" si="1"/>
        <v>0</v>
      </c>
      <c r="Q31" s="73">
        <v>1</v>
      </c>
      <c r="R31" s="73">
        <f t="shared" si="2"/>
        <v>166.7</v>
      </c>
      <c r="S31" s="73">
        <v>0</v>
      </c>
      <c r="T31" s="74">
        <f t="shared" si="3"/>
        <v>0</v>
      </c>
      <c r="AR31" s="75" t="s">
        <v>94</v>
      </c>
      <c r="AT31" s="75" t="s">
        <v>201</v>
      </c>
      <c r="AU31" s="75" t="s">
        <v>63</v>
      </c>
      <c r="AY31" s="47" t="s">
        <v>881</v>
      </c>
      <c r="BE31" s="76">
        <f t="shared" si="4"/>
        <v>0</v>
      </c>
      <c r="BF31" s="76">
        <f t="shared" si="5"/>
        <v>0</v>
      </c>
      <c r="BG31" s="76">
        <f t="shared" si="6"/>
        <v>0</v>
      </c>
      <c r="BH31" s="76">
        <f t="shared" si="7"/>
        <v>0</v>
      </c>
      <c r="BI31" s="76">
        <f t="shared" si="8"/>
        <v>0</v>
      </c>
      <c r="BJ31" s="47" t="s">
        <v>51</v>
      </c>
      <c r="BK31" s="76">
        <f t="shared" si="9"/>
        <v>0</v>
      </c>
      <c r="BL31" s="47" t="s">
        <v>71</v>
      </c>
      <c r="BM31" s="75" t="s">
        <v>1323</v>
      </c>
    </row>
    <row r="32" spans="3:65" s="48" customFormat="1" ht="24.6">
      <c r="C32" s="85" t="s">
        <v>128</v>
      </c>
      <c r="D32" s="85" t="s">
        <v>201</v>
      </c>
      <c r="E32" s="86" t="s">
        <v>1324</v>
      </c>
      <c r="F32" s="540" t="s">
        <v>2482</v>
      </c>
      <c r="G32" s="88" t="s">
        <v>125</v>
      </c>
      <c r="H32" s="89">
        <v>83.4</v>
      </c>
      <c r="I32" s="528"/>
      <c r="J32" s="90">
        <f t="shared" si="0"/>
        <v>0</v>
      </c>
      <c r="K32" s="522"/>
      <c r="L32" s="533" t="s">
        <v>2474</v>
      </c>
      <c r="M32" s="531" t="s">
        <v>854</v>
      </c>
      <c r="N32" s="78" t="s">
        <v>860</v>
      </c>
      <c r="O32" s="73">
        <v>0</v>
      </c>
      <c r="P32" s="73">
        <f t="shared" si="1"/>
        <v>0</v>
      </c>
      <c r="Q32" s="73">
        <v>1</v>
      </c>
      <c r="R32" s="73">
        <f t="shared" si="2"/>
        <v>83.4</v>
      </c>
      <c r="S32" s="73">
        <v>0</v>
      </c>
      <c r="T32" s="74">
        <f t="shared" si="3"/>
        <v>0</v>
      </c>
      <c r="AR32" s="75" t="s">
        <v>94</v>
      </c>
      <c r="AT32" s="75" t="s">
        <v>201</v>
      </c>
      <c r="AU32" s="75" t="s">
        <v>63</v>
      </c>
      <c r="AY32" s="47" t="s">
        <v>881</v>
      </c>
      <c r="BE32" s="76">
        <f t="shared" si="4"/>
        <v>0</v>
      </c>
      <c r="BF32" s="76">
        <f t="shared" si="5"/>
        <v>0</v>
      </c>
      <c r="BG32" s="76">
        <f t="shared" si="6"/>
        <v>0</v>
      </c>
      <c r="BH32" s="76">
        <f t="shared" si="7"/>
        <v>0</v>
      </c>
      <c r="BI32" s="76">
        <f t="shared" si="8"/>
        <v>0</v>
      </c>
      <c r="BJ32" s="47" t="s">
        <v>51</v>
      </c>
      <c r="BK32" s="76">
        <f t="shared" si="9"/>
        <v>0</v>
      </c>
      <c r="BL32" s="47" t="s">
        <v>71</v>
      </c>
      <c r="BM32" s="75" t="s">
        <v>1325</v>
      </c>
    </row>
    <row r="33" spans="3:65" s="48" customFormat="1" ht="16.5" customHeight="1">
      <c r="C33" s="79" t="s">
        <v>66</v>
      </c>
      <c r="D33" s="79" t="s">
        <v>883</v>
      </c>
      <c r="E33" s="80" t="s">
        <v>1326</v>
      </c>
      <c r="F33" s="81" t="s">
        <v>1327</v>
      </c>
      <c r="G33" s="82" t="s">
        <v>54</v>
      </c>
      <c r="H33" s="83">
        <v>1025</v>
      </c>
      <c r="I33" s="527"/>
      <c r="J33" s="84">
        <f t="shared" si="0"/>
        <v>0</v>
      </c>
      <c r="K33" s="521"/>
      <c r="L33" s="533" t="s">
        <v>2130</v>
      </c>
      <c r="M33" s="530" t="s">
        <v>854</v>
      </c>
      <c r="N33" s="72" t="s">
        <v>860</v>
      </c>
      <c r="O33" s="73">
        <v>0.5</v>
      </c>
      <c r="P33" s="73">
        <f t="shared" si="1"/>
        <v>512.5</v>
      </c>
      <c r="Q33" s="73">
        <v>0</v>
      </c>
      <c r="R33" s="73">
        <f t="shared" si="2"/>
        <v>0</v>
      </c>
      <c r="S33" s="73">
        <v>0</v>
      </c>
      <c r="T33" s="74">
        <f t="shared" si="3"/>
        <v>0</v>
      </c>
      <c r="AR33" s="75" t="s">
        <v>71</v>
      </c>
      <c r="AT33" s="75" t="s">
        <v>883</v>
      </c>
      <c r="AU33" s="75" t="s">
        <v>63</v>
      </c>
      <c r="AY33" s="47" t="s">
        <v>881</v>
      </c>
      <c r="BE33" s="76">
        <f t="shared" si="4"/>
        <v>0</v>
      </c>
      <c r="BF33" s="76">
        <f t="shared" si="5"/>
        <v>0</v>
      </c>
      <c r="BG33" s="76">
        <f t="shared" si="6"/>
        <v>0</v>
      </c>
      <c r="BH33" s="76">
        <f t="shared" si="7"/>
        <v>0</v>
      </c>
      <c r="BI33" s="76">
        <f t="shared" si="8"/>
        <v>0</v>
      </c>
      <c r="BJ33" s="47" t="s">
        <v>51</v>
      </c>
      <c r="BK33" s="76">
        <f t="shared" si="9"/>
        <v>0</v>
      </c>
      <c r="BL33" s="47" t="s">
        <v>71</v>
      </c>
      <c r="BM33" s="75" t="s">
        <v>1328</v>
      </c>
    </row>
    <row r="34" spans="3:65" s="48" customFormat="1" ht="16.5" customHeight="1">
      <c r="C34" s="85" t="s">
        <v>92</v>
      </c>
      <c r="D34" s="85" t="s">
        <v>201</v>
      </c>
      <c r="E34" s="86" t="s">
        <v>1329</v>
      </c>
      <c r="F34" s="87" t="s">
        <v>1330</v>
      </c>
      <c r="G34" s="88" t="s">
        <v>54</v>
      </c>
      <c r="H34" s="89">
        <v>1127.5</v>
      </c>
      <c r="I34" s="528"/>
      <c r="J34" s="90">
        <f t="shared" si="0"/>
        <v>0</v>
      </c>
      <c r="K34" s="522"/>
      <c r="L34" s="533" t="s">
        <v>2130</v>
      </c>
      <c r="M34" s="531" t="s">
        <v>854</v>
      </c>
      <c r="N34" s="78" t="s">
        <v>860</v>
      </c>
      <c r="O34" s="73">
        <v>0</v>
      </c>
      <c r="P34" s="73">
        <f t="shared" si="1"/>
        <v>0</v>
      </c>
      <c r="Q34" s="73">
        <v>0.00015</v>
      </c>
      <c r="R34" s="73">
        <f t="shared" si="2"/>
        <v>0.169125</v>
      </c>
      <c r="S34" s="73">
        <v>0</v>
      </c>
      <c r="T34" s="74">
        <f t="shared" si="3"/>
        <v>0</v>
      </c>
      <c r="AR34" s="75" t="s">
        <v>94</v>
      </c>
      <c r="AT34" s="75" t="s">
        <v>201</v>
      </c>
      <c r="AU34" s="75" t="s">
        <v>63</v>
      </c>
      <c r="AY34" s="47" t="s">
        <v>881</v>
      </c>
      <c r="BE34" s="76">
        <f t="shared" si="4"/>
        <v>0</v>
      </c>
      <c r="BF34" s="76">
        <f t="shared" si="5"/>
        <v>0</v>
      </c>
      <c r="BG34" s="76">
        <f t="shared" si="6"/>
        <v>0</v>
      </c>
      <c r="BH34" s="76">
        <f t="shared" si="7"/>
        <v>0</v>
      </c>
      <c r="BI34" s="76">
        <f t="shared" si="8"/>
        <v>0</v>
      </c>
      <c r="BJ34" s="47" t="s">
        <v>51</v>
      </c>
      <c r="BK34" s="76">
        <f t="shared" si="9"/>
        <v>0</v>
      </c>
      <c r="BL34" s="47" t="s">
        <v>71</v>
      </c>
      <c r="BM34" s="75" t="s">
        <v>1331</v>
      </c>
    </row>
    <row r="35" spans="3:65" s="48" customFormat="1" ht="16.5" customHeight="1">
      <c r="C35" s="79" t="s">
        <v>102</v>
      </c>
      <c r="D35" s="79" t="s">
        <v>883</v>
      </c>
      <c r="E35" s="80" t="s">
        <v>1332</v>
      </c>
      <c r="F35" s="81" t="s">
        <v>1333</v>
      </c>
      <c r="G35" s="82" t="s">
        <v>54</v>
      </c>
      <c r="H35" s="83">
        <v>7.8</v>
      </c>
      <c r="I35" s="527"/>
      <c r="J35" s="84">
        <f t="shared" si="0"/>
        <v>0</v>
      </c>
      <c r="K35" s="521"/>
      <c r="L35" s="533" t="s">
        <v>2474</v>
      </c>
      <c r="M35" s="530" t="s">
        <v>854</v>
      </c>
      <c r="N35" s="72" t="s">
        <v>860</v>
      </c>
      <c r="O35" s="73">
        <v>0.437</v>
      </c>
      <c r="P35" s="73">
        <f t="shared" si="1"/>
        <v>3.4086</v>
      </c>
      <c r="Q35" s="73">
        <v>0</v>
      </c>
      <c r="R35" s="73">
        <f t="shared" si="2"/>
        <v>0</v>
      </c>
      <c r="S35" s="73">
        <v>0</v>
      </c>
      <c r="T35" s="74">
        <f t="shared" si="3"/>
        <v>0</v>
      </c>
      <c r="AR35" s="75" t="s">
        <v>71</v>
      </c>
      <c r="AT35" s="75" t="s">
        <v>883</v>
      </c>
      <c r="AU35" s="75" t="s">
        <v>63</v>
      </c>
      <c r="AY35" s="47" t="s">
        <v>881</v>
      </c>
      <c r="BE35" s="76">
        <f t="shared" si="4"/>
        <v>0</v>
      </c>
      <c r="BF35" s="76">
        <f t="shared" si="5"/>
        <v>0</v>
      </c>
      <c r="BG35" s="76">
        <f t="shared" si="6"/>
        <v>0</v>
      </c>
      <c r="BH35" s="76">
        <f t="shared" si="7"/>
        <v>0</v>
      </c>
      <c r="BI35" s="76">
        <f t="shared" si="8"/>
        <v>0</v>
      </c>
      <c r="BJ35" s="47" t="s">
        <v>51</v>
      </c>
      <c r="BK35" s="76">
        <f t="shared" si="9"/>
        <v>0</v>
      </c>
      <c r="BL35" s="47" t="s">
        <v>71</v>
      </c>
      <c r="BM35" s="75" t="s">
        <v>1334</v>
      </c>
    </row>
    <row r="36" spans="3:65" s="48" customFormat="1" ht="24.15" customHeight="1">
      <c r="C36" s="85" t="s">
        <v>114</v>
      </c>
      <c r="D36" s="85" t="s">
        <v>201</v>
      </c>
      <c r="E36" s="86" t="s">
        <v>1335</v>
      </c>
      <c r="F36" s="87" t="s">
        <v>1336</v>
      </c>
      <c r="G36" s="88" t="s">
        <v>54</v>
      </c>
      <c r="H36" s="89">
        <v>7.8</v>
      </c>
      <c r="I36" s="528"/>
      <c r="J36" s="90">
        <f t="shared" si="0"/>
        <v>0</v>
      </c>
      <c r="K36" s="522"/>
      <c r="L36" s="533" t="s">
        <v>2130</v>
      </c>
      <c r="M36" s="531" t="s">
        <v>854</v>
      </c>
      <c r="N36" s="78" t="s">
        <v>860</v>
      </c>
      <c r="O36" s="73">
        <v>0</v>
      </c>
      <c r="P36" s="73">
        <f t="shared" si="1"/>
        <v>0</v>
      </c>
      <c r="Q36" s="73">
        <v>0.0001</v>
      </c>
      <c r="R36" s="73">
        <f t="shared" si="2"/>
        <v>0.00078</v>
      </c>
      <c r="S36" s="73">
        <v>0</v>
      </c>
      <c r="T36" s="74">
        <f t="shared" si="3"/>
        <v>0</v>
      </c>
      <c r="AR36" s="75" t="s">
        <v>94</v>
      </c>
      <c r="AT36" s="75" t="s">
        <v>201</v>
      </c>
      <c r="AU36" s="75" t="s">
        <v>63</v>
      </c>
      <c r="AY36" s="47" t="s">
        <v>881</v>
      </c>
      <c r="BE36" s="76">
        <f t="shared" si="4"/>
        <v>0</v>
      </c>
      <c r="BF36" s="76">
        <f t="shared" si="5"/>
        <v>0</v>
      </c>
      <c r="BG36" s="76">
        <f t="shared" si="6"/>
        <v>0</v>
      </c>
      <c r="BH36" s="76">
        <f t="shared" si="7"/>
        <v>0</v>
      </c>
      <c r="BI36" s="76">
        <f t="shared" si="8"/>
        <v>0</v>
      </c>
      <c r="BJ36" s="47" t="s">
        <v>51</v>
      </c>
      <c r="BK36" s="76">
        <f t="shared" si="9"/>
        <v>0</v>
      </c>
      <c r="BL36" s="47" t="s">
        <v>71</v>
      </c>
      <c r="BM36" s="75" t="s">
        <v>1337</v>
      </c>
    </row>
    <row r="37" spans="4:63" s="64" customFormat="1" ht="22.95" customHeight="1">
      <c r="D37" s="65" t="s">
        <v>877</v>
      </c>
      <c r="E37" s="205" t="s">
        <v>63</v>
      </c>
      <c r="F37" s="205" t="s">
        <v>1338</v>
      </c>
      <c r="J37" s="206">
        <f>BK37</f>
        <v>0</v>
      </c>
      <c r="P37" s="67">
        <f>SUM(P38:P43)</f>
        <v>140.57340000000002</v>
      </c>
      <c r="R37" s="67">
        <f>SUM(R38:R43)</f>
        <v>77.9425556</v>
      </c>
      <c r="T37" s="68">
        <f>SUM(T38:T43)</f>
        <v>0</v>
      </c>
      <c r="AR37" s="65" t="s">
        <v>51</v>
      </c>
      <c r="AT37" s="69" t="s">
        <v>877</v>
      </c>
      <c r="AU37" s="69" t="s">
        <v>51</v>
      </c>
      <c r="AY37" s="65" t="s">
        <v>881</v>
      </c>
      <c r="BK37" s="70">
        <f>SUM(BK38:BK43)</f>
        <v>0</v>
      </c>
    </row>
    <row r="38" spans="3:65" s="48" customFormat="1" ht="24.15" customHeight="1">
      <c r="C38" s="79" t="s">
        <v>121</v>
      </c>
      <c r="D38" s="79" t="s">
        <v>883</v>
      </c>
      <c r="E38" s="80" t="s">
        <v>1339</v>
      </c>
      <c r="F38" s="81" t="s">
        <v>1340</v>
      </c>
      <c r="G38" s="82" t="s">
        <v>74</v>
      </c>
      <c r="H38" s="83">
        <v>25.54</v>
      </c>
      <c r="I38" s="527"/>
      <c r="J38" s="84">
        <f aca="true" t="shared" si="10" ref="J38:J43">ROUND(I38*H38,2)</f>
        <v>0</v>
      </c>
      <c r="K38" s="521"/>
      <c r="L38" s="533" t="s">
        <v>2474</v>
      </c>
      <c r="M38" s="530" t="s">
        <v>854</v>
      </c>
      <c r="N38" s="72" t="s">
        <v>860</v>
      </c>
      <c r="O38" s="73">
        <v>2.19</v>
      </c>
      <c r="P38" s="73">
        <f aca="true" t="shared" si="11" ref="P38:P43">O38*H38</f>
        <v>55.932599999999994</v>
      </c>
      <c r="Q38" s="73">
        <v>0.02464</v>
      </c>
      <c r="R38" s="73">
        <f aca="true" t="shared" si="12" ref="R38:R43">Q38*H38</f>
        <v>0.6293055999999999</v>
      </c>
      <c r="S38" s="73">
        <v>0</v>
      </c>
      <c r="T38" s="74">
        <f aca="true" t="shared" si="13" ref="T38:T43">S38*H38</f>
        <v>0</v>
      </c>
      <c r="AR38" s="75" t="s">
        <v>71</v>
      </c>
      <c r="AT38" s="75" t="s">
        <v>883</v>
      </c>
      <c r="AU38" s="75" t="s">
        <v>63</v>
      </c>
      <c r="AY38" s="47" t="s">
        <v>881</v>
      </c>
      <c r="BE38" s="76">
        <f aca="true" t="shared" si="14" ref="BE38:BE43">IF(N38="základní",J38,0)</f>
        <v>0</v>
      </c>
      <c r="BF38" s="76">
        <f aca="true" t="shared" si="15" ref="BF38:BF43">IF(N38="snížená",J38,0)</f>
        <v>0</v>
      </c>
      <c r="BG38" s="76">
        <f aca="true" t="shared" si="16" ref="BG38:BG43">IF(N38="zákl. přenesená",J38,0)</f>
        <v>0</v>
      </c>
      <c r="BH38" s="76">
        <f aca="true" t="shared" si="17" ref="BH38:BH43">IF(N38="sníž. přenesená",J38,0)</f>
        <v>0</v>
      </c>
      <c r="BI38" s="76">
        <f aca="true" t="shared" si="18" ref="BI38:BI43">IF(N38="nulová",J38,0)</f>
        <v>0</v>
      </c>
      <c r="BJ38" s="47" t="s">
        <v>51</v>
      </c>
      <c r="BK38" s="76">
        <f aca="true" t="shared" si="19" ref="BK38:BK43">ROUND(I38*H38,2)</f>
        <v>0</v>
      </c>
      <c r="BL38" s="47" t="s">
        <v>71</v>
      </c>
      <c r="BM38" s="75" t="s">
        <v>1341</v>
      </c>
    </row>
    <row r="39" spans="3:65" s="48" customFormat="1" ht="16.5" customHeight="1">
      <c r="C39" s="85" t="s">
        <v>157</v>
      </c>
      <c r="D39" s="85" t="s">
        <v>201</v>
      </c>
      <c r="E39" s="86" t="s">
        <v>1342</v>
      </c>
      <c r="F39" s="87" t="s">
        <v>1343</v>
      </c>
      <c r="G39" s="88" t="s">
        <v>260</v>
      </c>
      <c r="H39" s="89">
        <v>25.54</v>
      </c>
      <c r="I39" s="528"/>
      <c r="J39" s="90">
        <f t="shared" si="10"/>
        <v>0</v>
      </c>
      <c r="K39" s="522"/>
      <c r="L39" s="533" t="s">
        <v>2130</v>
      </c>
      <c r="M39" s="531" t="s">
        <v>854</v>
      </c>
      <c r="N39" s="78" t="s">
        <v>860</v>
      </c>
      <c r="O39" s="73">
        <v>0</v>
      </c>
      <c r="P39" s="73">
        <f t="shared" si="11"/>
        <v>0</v>
      </c>
      <c r="Q39" s="73">
        <v>0.79</v>
      </c>
      <c r="R39" s="73">
        <f t="shared" si="12"/>
        <v>20.1766</v>
      </c>
      <c r="S39" s="73">
        <v>0</v>
      </c>
      <c r="T39" s="74">
        <f t="shared" si="13"/>
        <v>0</v>
      </c>
      <c r="AR39" s="75" t="s">
        <v>94</v>
      </c>
      <c r="AT39" s="75" t="s">
        <v>201</v>
      </c>
      <c r="AU39" s="75" t="s">
        <v>63</v>
      </c>
      <c r="AY39" s="47" t="s">
        <v>881</v>
      </c>
      <c r="BE39" s="76">
        <f t="shared" si="14"/>
        <v>0</v>
      </c>
      <c r="BF39" s="76">
        <f t="shared" si="15"/>
        <v>0</v>
      </c>
      <c r="BG39" s="76">
        <f t="shared" si="16"/>
        <v>0</v>
      </c>
      <c r="BH39" s="76">
        <f t="shared" si="17"/>
        <v>0</v>
      </c>
      <c r="BI39" s="76">
        <f t="shared" si="18"/>
        <v>0</v>
      </c>
      <c r="BJ39" s="47" t="s">
        <v>51</v>
      </c>
      <c r="BK39" s="76">
        <f t="shared" si="19"/>
        <v>0</v>
      </c>
      <c r="BL39" s="47" t="s">
        <v>71</v>
      </c>
      <c r="BM39" s="75" t="s">
        <v>1344</v>
      </c>
    </row>
    <row r="40" spans="3:65" s="48" customFormat="1" ht="24.15" customHeight="1">
      <c r="C40" s="79" t="s">
        <v>161</v>
      </c>
      <c r="D40" s="79" t="s">
        <v>883</v>
      </c>
      <c r="E40" s="80" t="s">
        <v>1345</v>
      </c>
      <c r="F40" s="81" t="s">
        <v>1346</v>
      </c>
      <c r="G40" s="82" t="s">
        <v>81</v>
      </c>
      <c r="H40" s="83">
        <v>1.96</v>
      </c>
      <c r="I40" s="527"/>
      <c r="J40" s="84">
        <f t="shared" si="10"/>
        <v>0</v>
      </c>
      <c r="K40" s="521"/>
      <c r="L40" s="533" t="s">
        <v>2474</v>
      </c>
      <c r="M40" s="530" t="s">
        <v>854</v>
      </c>
      <c r="N40" s="72" t="s">
        <v>860</v>
      </c>
      <c r="O40" s="73">
        <v>2.28</v>
      </c>
      <c r="P40" s="73">
        <f t="shared" si="11"/>
        <v>4.4688</v>
      </c>
      <c r="Q40" s="73">
        <v>2.004</v>
      </c>
      <c r="R40" s="73">
        <f t="shared" si="12"/>
        <v>3.9278399999999998</v>
      </c>
      <c r="S40" s="73">
        <v>0</v>
      </c>
      <c r="T40" s="74">
        <f t="shared" si="13"/>
        <v>0</v>
      </c>
      <c r="AR40" s="75" t="s">
        <v>71</v>
      </c>
      <c r="AT40" s="75" t="s">
        <v>883</v>
      </c>
      <c r="AU40" s="75" t="s">
        <v>63</v>
      </c>
      <c r="AY40" s="47" t="s">
        <v>881</v>
      </c>
      <c r="BE40" s="76">
        <f t="shared" si="14"/>
        <v>0</v>
      </c>
      <c r="BF40" s="76">
        <f t="shared" si="15"/>
        <v>0</v>
      </c>
      <c r="BG40" s="76">
        <f t="shared" si="16"/>
        <v>0</v>
      </c>
      <c r="BH40" s="76">
        <f t="shared" si="17"/>
        <v>0</v>
      </c>
      <c r="BI40" s="76">
        <f t="shared" si="18"/>
        <v>0</v>
      </c>
      <c r="BJ40" s="47" t="s">
        <v>51</v>
      </c>
      <c r="BK40" s="76">
        <f t="shared" si="19"/>
        <v>0</v>
      </c>
      <c r="BL40" s="47" t="s">
        <v>71</v>
      </c>
      <c r="BM40" s="75" t="s">
        <v>1347</v>
      </c>
    </row>
    <row r="41" spans="3:65" s="48" customFormat="1" ht="16.5" customHeight="1">
      <c r="C41" s="79" t="s">
        <v>165</v>
      </c>
      <c r="D41" s="79" t="s">
        <v>883</v>
      </c>
      <c r="E41" s="80" t="s">
        <v>1348</v>
      </c>
      <c r="F41" s="81" t="s">
        <v>1349</v>
      </c>
      <c r="G41" s="82" t="s">
        <v>81</v>
      </c>
      <c r="H41" s="83">
        <v>15.3</v>
      </c>
      <c r="I41" s="527"/>
      <c r="J41" s="84">
        <f t="shared" si="10"/>
        <v>0</v>
      </c>
      <c r="K41" s="521"/>
      <c r="L41" s="533" t="s">
        <v>2474</v>
      </c>
      <c r="M41" s="530" t="s">
        <v>854</v>
      </c>
      <c r="N41" s="72" t="s">
        <v>860</v>
      </c>
      <c r="O41" s="73">
        <v>2.62</v>
      </c>
      <c r="P41" s="73">
        <f t="shared" si="11"/>
        <v>40.086000000000006</v>
      </c>
      <c r="Q41" s="73">
        <v>2.4777</v>
      </c>
      <c r="R41" s="73">
        <f t="shared" si="12"/>
        <v>37.90881</v>
      </c>
      <c r="S41" s="73">
        <v>0</v>
      </c>
      <c r="T41" s="74">
        <f t="shared" si="13"/>
        <v>0</v>
      </c>
      <c r="AR41" s="75" t="s">
        <v>71</v>
      </c>
      <c r="AT41" s="75" t="s">
        <v>883</v>
      </c>
      <c r="AU41" s="75" t="s">
        <v>63</v>
      </c>
      <c r="AY41" s="47" t="s">
        <v>881</v>
      </c>
      <c r="BE41" s="76">
        <f t="shared" si="14"/>
        <v>0</v>
      </c>
      <c r="BF41" s="76">
        <f t="shared" si="15"/>
        <v>0</v>
      </c>
      <c r="BG41" s="76">
        <f t="shared" si="16"/>
        <v>0</v>
      </c>
      <c r="BH41" s="76">
        <f t="shared" si="17"/>
        <v>0</v>
      </c>
      <c r="BI41" s="76">
        <f t="shared" si="18"/>
        <v>0</v>
      </c>
      <c r="BJ41" s="47" t="s">
        <v>51</v>
      </c>
      <c r="BK41" s="76">
        <f t="shared" si="19"/>
        <v>0</v>
      </c>
      <c r="BL41" s="47" t="s">
        <v>71</v>
      </c>
      <c r="BM41" s="75" t="s">
        <v>1350</v>
      </c>
    </row>
    <row r="42" spans="3:65" s="48" customFormat="1" ht="16.5" customHeight="1">
      <c r="C42" s="79" t="s">
        <v>70</v>
      </c>
      <c r="D42" s="79" t="s">
        <v>883</v>
      </c>
      <c r="E42" s="80" t="s">
        <v>1351</v>
      </c>
      <c r="F42" s="81" t="s">
        <v>1352</v>
      </c>
      <c r="G42" s="82" t="s">
        <v>81</v>
      </c>
      <c r="H42" s="83">
        <v>15.3</v>
      </c>
      <c r="I42" s="527"/>
      <c r="J42" s="84">
        <f t="shared" si="10"/>
        <v>0</v>
      </c>
      <c r="K42" s="521"/>
      <c r="L42" s="533" t="s">
        <v>2474</v>
      </c>
      <c r="M42" s="530" t="s">
        <v>854</v>
      </c>
      <c r="N42" s="72" t="s">
        <v>860</v>
      </c>
      <c r="O42" s="73">
        <v>2.62</v>
      </c>
      <c r="P42" s="73">
        <f t="shared" si="11"/>
        <v>40.086000000000006</v>
      </c>
      <c r="Q42" s="73">
        <v>0</v>
      </c>
      <c r="R42" s="73">
        <f t="shared" si="12"/>
        <v>0</v>
      </c>
      <c r="S42" s="73">
        <v>0</v>
      </c>
      <c r="T42" s="74">
        <f t="shared" si="13"/>
        <v>0</v>
      </c>
      <c r="AR42" s="75" t="s">
        <v>71</v>
      </c>
      <c r="AT42" s="75" t="s">
        <v>883</v>
      </c>
      <c r="AU42" s="75" t="s">
        <v>63</v>
      </c>
      <c r="AY42" s="47" t="s">
        <v>881</v>
      </c>
      <c r="BE42" s="76">
        <f t="shared" si="14"/>
        <v>0</v>
      </c>
      <c r="BF42" s="76">
        <f t="shared" si="15"/>
        <v>0</v>
      </c>
      <c r="BG42" s="76">
        <f t="shared" si="16"/>
        <v>0</v>
      </c>
      <c r="BH42" s="76">
        <f t="shared" si="17"/>
        <v>0</v>
      </c>
      <c r="BI42" s="76">
        <f t="shared" si="18"/>
        <v>0</v>
      </c>
      <c r="BJ42" s="47" t="s">
        <v>51</v>
      </c>
      <c r="BK42" s="76">
        <f t="shared" si="19"/>
        <v>0</v>
      </c>
      <c r="BL42" s="47" t="s">
        <v>71</v>
      </c>
      <c r="BM42" s="75" t="s">
        <v>1353</v>
      </c>
    </row>
    <row r="43" spans="3:65" s="48" customFormat="1" ht="16.5" customHeight="1">
      <c r="C43" s="85" t="s">
        <v>172</v>
      </c>
      <c r="D43" s="85" t="s">
        <v>201</v>
      </c>
      <c r="E43" s="86" t="s">
        <v>1354</v>
      </c>
      <c r="F43" s="87" t="s">
        <v>1355</v>
      </c>
      <c r="G43" s="88" t="s">
        <v>125</v>
      </c>
      <c r="H43" s="89">
        <v>15.3</v>
      </c>
      <c r="I43" s="528"/>
      <c r="J43" s="90">
        <f t="shared" si="10"/>
        <v>0</v>
      </c>
      <c r="K43" s="522"/>
      <c r="L43" s="533" t="s">
        <v>2474</v>
      </c>
      <c r="M43" s="531" t="s">
        <v>854</v>
      </c>
      <c r="N43" s="78" t="s">
        <v>860</v>
      </c>
      <c r="O43" s="73">
        <v>0</v>
      </c>
      <c r="P43" s="73">
        <f t="shared" si="11"/>
        <v>0</v>
      </c>
      <c r="Q43" s="73">
        <v>1</v>
      </c>
      <c r="R43" s="73">
        <f t="shared" si="12"/>
        <v>15.3</v>
      </c>
      <c r="S43" s="73">
        <v>0</v>
      </c>
      <c r="T43" s="74">
        <f t="shared" si="13"/>
        <v>0</v>
      </c>
      <c r="AR43" s="75" t="s">
        <v>94</v>
      </c>
      <c r="AT43" s="75" t="s">
        <v>201</v>
      </c>
      <c r="AU43" s="75" t="s">
        <v>63</v>
      </c>
      <c r="AY43" s="47" t="s">
        <v>881</v>
      </c>
      <c r="BE43" s="76">
        <f t="shared" si="14"/>
        <v>0</v>
      </c>
      <c r="BF43" s="76">
        <f t="shared" si="15"/>
        <v>0</v>
      </c>
      <c r="BG43" s="76">
        <f t="shared" si="16"/>
        <v>0</v>
      </c>
      <c r="BH43" s="76">
        <f t="shared" si="17"/>
        <v>0</v>
      </c>
      <c r="BI43" s="76">
        <f t="shared" si="18"/>
        <v>0</v>
      </c>
      <c r="BJ43" s="47" t="s">
        <v>51</v>
      </c>
      <c r="BK43" s="76">
        <f t="shared" si="19"/>
        <v>0</v>
      </c>
      <c r="BL43" s="47" t="s">
        <v>71</v>
      </c>
      <c r="BM43" s="75" t="s">
        <v>1356</v>
      </c>
    </row>
    <row r="44" spans="4:63" s="64" customFormat="1" ht="22.95" customHeight="1">
      <c r="D44" s="65" t="s">
        <v>877</v>
      </c>
      <c r="E44" s="205" t="s">
        <v>71</v>
      </c>
      <c r="F44" s="205" t="s">
        <v>926</v>
      </c>
      <c r="J44" s="206">
        <f>BK44</f>
        <v>0</v>
      </c>
      <c r="P44" s="67">
        <f>SUM(P45:P47)</f>
        <v>25.4664</v>
      </c>
      <c r="R44" s="67">
        <f>SUM(R45:R47)</f>
        <v>2.0202</v>
      </c>
      <c r="T44" s="68">
        <f>SUM(T45:T47)</f>
        <v>0</v>
      </c>
      <c r="AR44" s="65" t="s">
        <v>51</v>
      </c>
      <c r="AT44" s="69" t="s">
        <v>877</v>
      </c>
      <c r="AU44" s="69" t="s">
        <v>51</v>
      </c>
      <c r="AY44" s="65" t="s">
        <v>881</v>
      </c>
      <c r="BK44" s="70">
        <f>SUM(BK45:BK47)</f>
        <v>0</v>
      </c>
    </row>
    <row r="45" spans="3:65" s="48" customFormat="1" ht="24.15" customHeight="1">
      <c r="C45" s="79" t="s">
        <v>177</v>
      </c>
      <c r="D45" s="79" t="s">
        <v>883</v>
      </c>
      <c r="E45" s="80" t="s">
        <v>927</v>
      </c>
      <c r="F45" s="81" t="s">
        <v>928</v>
      </c>
      <c r="G45" s="82" t="s">
        <v>81</v>
      </c>
      <c r="H45" s="83">
        <v>1.56</v>
      </c>
      <c r="I45" s="527"/>
      <c r="J45" s="84">
        <f>ROUND(I45*H45,2)</f>
        <v>0</v>
      </c>
      <c r="K45" s="521"/>
      <c r="L45" s="533" t="s">
        <v>2474</v>
      </c>
      <c r="M45" s="530" t="s">
        <v>854</v>
      </c>
      <c r="N45" s="72" t="s">
        <v>860</v>
      </c>
      <c r="O45" s="73">
        <v>1.695</v>
      </c>
      <c r="P45" s="73">
        <f>O45*H45</f>
        <v>2.6442</v>
      </c>
      <c r="Q45" s="73">
        <v>0</v>
      </c>
      <c r="R45" s="73">
        <f>Q45*H45</f>
        <v>0</v>
      </c>
      <c r="S45" s="73">
        <v>0</v>
      </c>
      <c r="T45" s="74">
        <f>S45*H45</f>
        <v>0</v>
      </c>
      <c r="AR45" s="75" t="s">
        <v>71</v>
      </c>
      <c r="AT45" s="75" t="s">
        <v>883</v>
      </c>
      <c r="AU45" s="75" t="s">
        <v>63</v>
      </c>
      <c r="AY45" s="47" t="s">
        <v>881</v>
      </c>
      <c r="BE45" s="76">
        <f>IF(N45="základní",J45,0)</f>
        <v>0</v>
      </c>
      <c r="BF45" s="76">
        <f>IF(N45="snížená",J45,0)</f>
        <v>0</v>
      </c>
      <c r="BG45" s="76">
        <f>IF(N45="zákl. přenesená",J45,0)</f>
        <v>0</v>
      </c>
      <c r="BH45" s="76">
        <f>IF(N45="sníž. přenesená",J45,0)</f>
        <v>0</v>
      </c>
      <c r="BI45" s="76">
        <f>IF(N45="nulová",J45,0)</f>
        <v>0</v>
      </c>
      <c r="BJ45" s="47" t="s">
        <v>51</v>
      </c>
      <c r="BK45" s="76">
        <f>ROUND(I45*H45,2)</f>
        <v>0</v>
      </c>
      <c r="BL45" s="47" t="s">
        <v>71</v>
      </c>
      <c r="BM45" s="75" t="s">
        <v>1357</v>
      </c>
    </row>
    <row r="46" spans="3:65" s="48" customFormat="1" ht="24.15" customHeight="1">
      <c r="C46" s="79" t="s">
        <v>181</v>
      </c>
      <c r="D46" s="79" t="s">
        <v>883</v>
      </c>
      <c r="E46" s="80" t="s">
        <v>1225</v>
      </c>
      <c r="F46" s="81" t="s">
        <v>1226</v>
      </c>
      <c r="G46" s="82" t="s">
        <v>81</v>
      </c>
      <c r="H46" s="83">
        <v>2.08</v>
      </c>
      <c r="I46" s="527"/>
      <c r="J46" s="84">
        <f>ROUND(I46*H46,2)</f>
        <v>0</v>
      </c>
      <c r="K46" s="521"/>
      <c r="L46" s="533" t="s">
        <v>2474</v>
      </c>
      <c r="M46" s="530" t="s">
        <v>854</v>
      </c>
      <c r="N46" s="72" t="s">
        <v>860</v>
      </c>
      <c r="O46" s="73">
        <v>1.465</v>
      </c>
      <c r="P46" s="73">
        <f>O46*H46</f>
        <v>3.0472</v>
      </c>
      <c r="Q46" s="73">
        <v>0</v>
      </c>
      <c r="R46" s="73">
        <f>Q46*H46</f>
        <v>0</v>
      </c>
      <c r="S46" s="73">
        <v>0</v>
      </c>
      <c r="T46" s="74">
        <f>S46*H46</f>
        <v>0</v>
      </c>
      <c r="AR46" s="75" t="s">
        <v>71</v>
      </c>
      <c r="AT46" s="75" t="s">
        <v>883</v>
      </c>
      <c r="AU46" s="75" t="s">
        <v>63</v>
      </c>
      <c r="AY46" s="47" t="s">
        <v>881</v>
      </c>
      <c r="BE46" s="76">
        <f>IF(N46="základní",J46,0)</f>
        <v>0</v>
      </c>
      <c r="BF46" s="76">
        <f>IF(N46="snížená",J46,0)</f>
        <v>0</v>
      </c>
      <c r="BG46" s="76">
        <f>IF(N46="zákl. přenesená",J46,0)</f>
        <v>0</v>
      </c>
      <c r="BH46" s="76">
        <f>IF(N46="sníž. přenesená",J46,0)</f>
        <v>0</v>
      </c>
      <c r="BI46" s="76">
        <f>IF(N46="nulová",J46,0)</f>
        <v>0</v>
      </c>
      <c r="BJ46" s="47" t="s">
        <v>51</v>
      </c>
      <c r="BK46" s="76">
        <f>ROUND(I46*H46,2)</f>
        <v>0</v>
      </c>
      <c r="BL46" s="47" t="s">
        <v>71</v>
      </c>
      <c r="BM46" s="75" t="s">
        <v>1358</v>
      </c>
    </row>
    <row r="47" spans="3:65" s="48" customFormat="1" ht="24.15" customHeight="1">
      <c r="C47" s="79" t="s">
        <v>187</v>
      </c>
      <c r="D47" s="79" t="s">
        <v>883</v>
      </c>
      <c r="E47" s="80" t="s">
        <v>1228</v>
      </c>
      <c r="F47" s="81" t="s">
        <v>1229</v>
      </c>
      <c r="G47" s="82" t="s">
        <v>74</v>
      </c>
      <c r="H47" s="83">
        <v>35</v>
      </c>
      <c r="I47" s="527"/>
      <c r="J47" s="84">
        <f>ROUND(I47*H47,2)</f>
        <v>0</v>
      </c>
      <c r="K47" s="521"/>
      <c r="L47" s="533" t="s">
        <v>2474</v>
      </c>
      <c r="M47" s="530" t="s">
        <v>854</v>
      </c>
      <c r="N47" s="72" t="s">
        <v>860</v>
      </c>
      <c r="O47" s="73">
        <v>0.565</v>
      </c>
      <c r="P47" s="73">
        <f>O47*H47</f>
        <v>19.775</v>
      </c>
      <c r="Q47" s="73">
        <v>0.05772</v>
      </c>
      <c r="R47" s="73">
        <f>Q47*H47</f>
        <v>2.0202</v>
      </c>
      <c r="S47" s="73">
        <v>0</v>
      </c>
      <c r="T47" s="74">
        <f>S47*H47</f>
        <v>0</v>
      </c>
      <c r="AR47" s="75" t="s">
        <v>71</v>
      </c>
      <c r="AT47" s="75" t="s">
        <v>883</v>
      </c>
      <c r="AU47" s="75" t="s">
        <v>63</v>
      </c>
      <c r="AY47" s="47" t="s">
        <v>881</v>
      </c>
      <c r="BE47" s="76">
        <f>IF(N47="základní",J47,0)</f>
        <v>0</v>
      </c>
      <c r="BF47" s="76">
        <f>IF(N47="snížená",J47,0)</f>
        <v>0</v>
      </c>
      <c r="BG47" s="76">
        <f>IF(N47="zákl. přenesená",J47,0)</f>
        <v>0</v>
      </c>
      <c r="BH47" s="76">
        <f>IF(N47="sníž. přenesená",J47,0)</f>
        <v>0</v>
      </c>
      <c r="BI47" s="76">
        <f>IF(N47="nulová",J47,0)</f>
        <v>0</v>
      </c>
      <c r="BJ47" s="47" t="s">
        <v>51</v>
      </c>
      <c r="BK47" s="76">
        <f>ROUND(I47*H47,2)</f>
        <v>0</v>
      </c>
      <c r="BL47" s="47" t="s">
        <v>71</v>
      </c>
      <c r="BM47" s="75" t="s">
        <v>1359</v>
      </c>
    </row>
    <row r="48" spans="4:63" s="64" customFormat="1" ht="22.95" customHeight="1">
      <c r="D48" s="65" t="s">
        <v>877</v>
      </c>
      <c r="E48" s="205" t="s">
        <v>85</v>
      </c>
      <c r="F48" s="205" t="s">
        <v>1360</v>
      </c>
      <c r="J48" s="206">
        <f>BK48</f>
        <v>0</v>
      </c>
      <c r="P48" s="67">
        <f>SUM(P49:P50)</f>
        <v>0.7216</v>
      </c>
      <c r="R48" s="67">
        <f>SUM(R49:R50)</f>
        <v>0.07077408</v>
      </c>
      <c r="T48" s="68">
        <f>SUM(T49:T50)</f>
        <v>0</v>
      </c>
      <c r="AR48" s="65" t="s">
        <v>51</v>
      </c>
      <c r="AT48" s="69" t="s">
        <v>877</v>
      </c>
      <c r="AU48" s="69" t="s">
        <v>51</v>
      </c>
      <c r="AY48" s="65" t="s">
        <v>881</v>
      </c>
      <c r="BK48" s="70">
        <f>SUM(BK49:BK50)</f>
        <v>0</v>
      </c>
    </row>
    <row r="49" spans="3:65" s="48" customFormat="1" ht="33" customHeight="1">
      <c r="C49" s="79" t="s">
        <v>198</v>
      </c>
      <c r="D49" s="79" t="s">
        <v>883</v>
      </c>
      <c r="E49" s="80" t="s">
        <v>1361</v>
      </c>
      <c r="F49" s="81" t="s">
        <v>1362</v>
      </c>
      <c r="G49" s="82" t="s">
        <v>54</v>
      </c>
      <c r="H49" s="83">
        <v>0.8</v>
      </c>
      <c r="I49" s="527"/>
      <c r="J49" s="84">
        <f>ROUND(I49*H49,2)</f>
        <v>0</v>
      </c>
      <c r="K49" s="521"/>
      <c r="L49" s="533" t="s">
        <v>2474</v>
      </c>
      <c r="M49" s="530" t="s">
        <v>854</v>
      </c>
      <c r="N49" s="72" t="s">
        <v>860</v>
      </c>
      <c r="O49" s="73">
        <v>0.902</v>
      </c>
      <c r="P49" s="73">
        <f>O49*H49</f>
        <v>0.7216</v>
      </c>
      <c r="Q49" s="73">
        <v>0.0024</v>
      </c>
      <c r="R49" s="73">
        <f>Q49*H49</f>
        <v>0.0019199999999999998</v>
      </c>
      <c r="S49" s="73">
        <v>0</v>
      </c>
      <c r="T49" s="74">
        <f>S49*H49</f>
        <v>0</v>
      </c>
      <c r="AR49" s="75" t="s">
        <v>71</v>
      </c>
      <c r="AT49" s="75" t="s">
        <v>883</v>
      </c>
      <c r="AU49" s="75" t="s">
        <v>63</v>
      </c>
      <c r="AY49" s="47" t="s">
        <v>881</v>
      </c>
      <c r="BE49" s="76">
        <f>IF(N49="základní",J49,0)</f>
        <v>0</v>
      </c>
      <c r="BF49" s="76">
        <f>IF(N49="snížená",J49,0)</f>
        <v>0</v>
      </c>
      <c r="BG49" s="76">
        <f>IF(N49="zákl. přenesená",J49,0)</f>
        <v>0</v>
      </c>
      <c r="BH49" s="76">
        <f>IF(N49="sníž. přenesená",J49,0)</f>
        <v>0</v>
      </c>
      <c r="BI49" s="76">
        <f>IF(N49="nulová",J49,0)</f>
        <v>0</v>
      </c>
      <c r="BJ49" s="47" t="s">
        <v>51</v>
      </c>
      <c r="BK49" s="76">
        <f>ROUND(I49*H49,2)</f>
        <v>0</v>
      </c>
      <c r="BL49" s="47" t="s">
        <v>71</v>
      </c>
      <c r="BM49" s="75" t="s">
        <v>1363</v>
      </c>
    </row>
    <row r="50" spans="3:65" s="48" customFormat="1" ht="24.15" customHeight="1">
      <c r="C50" s="85" t="s">
        <v>206</v>
      </c>
      <c r="D50" s="85" t="s">
        <v>201</v>
      </c>
      <c r="E50" s="86" t="s">
        <v>1364</v>
      </c>
      <c r="F50" s="87" t="s">
        <v>2483</v>
      </c>
      <c r="G50" s="88" t="s">
        <v>54</v>
      </c>
      <c r="H50" s="89">
        <v>0.816</v>
      </c>
      <c r="I50" s="528"/>
      <c r="J50" s="90">
        <f>ROUND(I50*H50,2)</f>
        <v>0</v>
      </c>
      <c r="K50" s="522"/>
      <c r="L50" s="533" t="s">
        <v>2130</v>
      </c>
      <c r="M50" s="531" t="s">
        <v>854</v>
      </c>
      <c r="N50" s="78" t="s">
        <v>860</v>
      </c>
      <c r="O50" s="73">
        <v>0</v>
      </c>
      <c r="P50" s="73">
        <f>O50*H50</f>
        <v>0</v>
      </c>
      <c r="Q50" s="73">
        <v>0.08438</v>
      </c>
      <c r="R50" s="73">
        <f>Q50*H50</f>
        <v>0.06885408</v>
      </c>
      <c r="S50" s="73">
        <v>0</v>
      </c>
      <c r="T50" s="74">
        <f>S50*H50</f>
        <v>0</v>
      </c>
      <c r="AR50" s="75" t="s">
        <v>94</v>
      </c>
      <c r="AT50" s="75" t="s">
        <v>201</v>
      </c>
      <c r="AU50" s="75" t="s">
        <v>63</v>
      </c>
      <c r="AY50" s="47" t="s">
        <v>881</v>
      </c>
      <c r="BE50" s="76">
        <f>IF(N50="základní",J50,0)</f>
        <v>0</v>
      </c>
      <c r="BF50" s="76">
        <f>IF(N50="snížená",J50,0)</f>
        <v>0</v>
      </c>
      <c r="BG50" s="76">
        <f>IF(N50="zákl. přenesená",J50,0)</f>
        <v>0</v>
      </c>
      <c r="BH50" s="76">
        <f>IF(N50="sníž. přenesená",J50,0)</f>
        <v>0</v>
      </c>
      <c r="BI50" s="76">
        <f>IF(N50="nulová",J50,0)</f>
        <v>0</v>
      </c>
      <c r="BJ50" s="47" t="s">
        <v>51</v>
      </c>
      <c r="BK50" s="76">
        <f>ROUND(I50*H50,2)</f>
        <v>0</v>
      </c>
      <c r="BL50" s="47" t="s">
        <v>71</v>
      </c>
      <c r="BM50" s="75" t="s">
        <v>1365</v>
      </c>
    </row>
    <row r="51" spans="4:63" s="64" customFormat="1" ht="22.95" customHeight="1">
      <c r="D51" s="65" t="s">
        <v>877</v>
      </c>
      <c r="E51" s="205" t="s">
        <v>94</v>
      </c>
      <c r="F51" s="205" t="s">
        <v>955</v>
      </c>
      <c r="J51" s="206">
        <f>BK51</f>
        <v>0</v>
      </c>
      <c r="P51" s="67">
        <f>SUM(P52:P62)</f>
        <v>126.5706</v>
      </c>
      <c r="R51" s="67">
        <f>SUM(R52:R62)</f>
        <v>9.503616</v>
      </c>
      <c r="T51" s="68">
        <f>SUM(T52:T62)</f>
        <v>0</v>
      </c>
      <c r="AR51" s="65" t="s">
        <v>51</v>
      </c>
      <c r="AT51" s="69" t="s">
        <v>877</v>
      </c>
      <c r="AU51" s="69" t="s">
        <v>51</v>
      </c>
      <c r="AY51" s="65" t="s">
        <v>881</v>
      </c>
      <c r="BK51" s="70">
        <f>SUM(BK52:BK62)</f>
        <v>0</v>
      </c>
    </row>
    <row r="52" spans="3:65" s="48" customFormat="1" ht="33" customHeight="1">
      <c r="C52" s="79" t="s">
        <v>211</v>
      </c>
      <c r="D52" s="79" t="s">
        <v>883</v>
      </c>
      <c r="E52" s="80" t="s">
        <v>1366</v>
      </c>
      <c r="F52" s="81" t="s">
        <v>1367</v>
      </c>
      <c r="G52" s="82" t="s">
        <v>74</v>
      </c>
      <c r="H52" s="83">
        <v>26</v>
      </c>
      <c r="I52" s="527"/>
      <c r="J52" s="84">
        <f aca="true" t="shared" si="20" ref="J52:J62">ROUND(I52*H52,2)</f>
        <v>0</v>
      </c>
      <c r="K52" s="521"/>
      <c r="L52" s="533" t="s">
        <v>2474</v>
      </c>
      <c r="M52" s="530" t="s">
        <v>854</v>
      </c>
      <c r="N52" s="72" t="s">
        <v>860</v>
      </c>
      <c r="O52" s="73">
        <v>0.283</v>
      </c>
      <c r="P52" s="73">
        <f aca="true" t="shared" si="21" ref="P52:P62">O52*H52</f>
        <v>7.358</v>
      </c>
      <c r="Q52" s="73">
        <v>3E-05</v>
      </c>
      <c r="R52" s="73">
        <f aca="true" t="shared" si="22" ref="R52:R62">Q52*H52</f>
        <v>0.00078</v>
      </c>
      <c r="S52" s="73">
        <v>0</v>
      </c>
      <c r="T52" s="74">
        <f aca="true" t="shared" si="23" ref="T52:T62">S52*H52</f>
        <v>0</v>
      </c>
      <c r="AR52" s="75" t="s">
        <v>71</v>
      </c>
      <c r="AT52" s="75" t="s">
        <v>883</v>
      </c>
      <c r="AU52" s="75" t="s">
        <v>63</v>
      </c>
      <c r="AY52" s="47" t="s">
        <v>881</v>
      </c>
      <c r="BE52" s="76">
        <f aca="true" t="shared" si="24" ref="BE52:BE62">IF(N52="základní",J52,0)</f>
        <v>0</v>
      </c>
      <c r="BF52" s="76">
        <f aca="true" t="shared" si="25" ref="BF52:BF62">IF(N52="snížená",J52,0)</f>
        <v>0</v>
      </c>
      <c r="BG52" s="76">
        <f aca="true" t="shared" si="26" ref="BG52:BG62">IF(N52="zákl. přenesená",J52,0)</f>
        <v>0</v>
      </c>
      <c r="BH52" s="76">
        <f aca="true" t="shared" si="27" ref="BH52:BH62">IF(N52="sníž. přenesená",J52,0)</f>
        <v>0</v>
      </c>
      <c r="BI52" s="76">
        <f aca="true" t="shared" si="28" ref="BI52:BI62">IF(N52="nulová",J52,0)</f>
        <v>0</v>
      </c>
      <c r="BJ52" s="47" t="s">
        <v>51</v>
      </c>
      <c r="BK52" s="76">
        <f aca="true" t="shared" si="29" ref="BK52:BK62">ROUND(I52*H52,2)</f>
        <v>0</v>
      </c>
      <c r="BL52" s="47" t="s">
        <v>71</v>
      </c>
      <c r="BM52" s="75" t="s">
        <v>1368</v>
      </c>
    </row>
    <row r="53" spans="3:65" s="48" customFormat="1" ht="24.15" customHeight="1">
      <c r="C53" s="85" t="s">
        <v>108</v>
      </c>
      <c r="D53" s="85" t="s">
        <v>201</v>
      </c>
      <c r="E53" s="86" t="s">
        <v>1369</v>
      </c>
      <c r="F53" s="87" t="s">
        <v>1370</v>
      </c>
      <c r="G53" s="88" t="s">
        <v>74</v>
      </c>
      <c r="H53" s="89">
        <v>26.39</v>
      </c>
      <c r="I53" s="528"/>
      <c r="J53" s="90">
        <f t="shared" si="20"/>
        <v>0</v>
      </c>
      <c r="K53" s="522"/>
      <c r="L53" s="533" t="s">
        <v>2474</v>
      </c>
      <c r="M53" s="531" t="s">
        <v>854</v>
      </c>
      <c r="N53" s="78" t="s">
        <v>860</v>
      </c>
      <c r="O53" s="73">
        <v>0</v>
      </c>
      <c r="P53" s="73">
        <f t="shared" si="21"/>
        <v>0</v>
      </c>
      <c r="Q53" s="73">
        <v>0.024</v>
      </c>
      <c r="R53" s="73">
        <f t="shared" si="22"/>
        <v>0.63336</v>
      </c>
      <c r="S53" s="73">
        <v>0</v>
      </c>
      <c r="T53" s="74">
        <f t="shared" si="23"/>
        <v>0</v>
      </c>
      <c r="AR53" s="75" t="s">
        <v>94</v>
      </c>
      <c r="AT53" s="75" t="s">
        <v>201</v>
      </c>
      <c r="AU53" s="75" t="s">
        <v>63</v>
      </c>
      <c r="AY53" s="47" t="s">
        <v>881</v>
      </c>
      <c r="BE53" s="76">
        <f t="shared" si="24"/>
        <v>0</v>
      </c>
      <c r="BF53" s="76">
        <f t="shared" si="25"/>
        <v>0</v>
      </c>
      <c r="BG53" s="76">
        <f t="shared" si="26"/>
        <v>0</v>
      </c>
      <c r="BH53" s="76">
        <f t="shared" si="27"/>
        <v>0</v>
      </c>
      <c r="BI53" s="76">
        <f t="shared" si="28"/>
        <v>0</v>
      </c>
      <c r="BJ53" s="47" t="s">
        <v>51</v>
      </c>
      <c r="BK53" s="76">
        <f t="shared" si="29"/>
        <v>0</v>
      </c>
      <c r="BL53" s="47" t="s">
        <v>71</v>
      </c>
      <c r="BM53" s="75" t="s">
        <v>1371</v>
      </c>
    </row>
    <row r="54" spans="3:65" s="48" customFormat="1" ht="24.15" customHeight="1">
      <c r="C54" s="79" t="s">
        <v>221</v>
      </c>
      <c r="D54" s="79" t="s">
        <v>883</v>
      </c>
      <c r="E54" s="80" t="s">
        <v>1372</v>
      </c>
      <c r="F54" s="81" t="s">
        <v>1373</v>
      </c>
      <c r="G54" s="82" t="s">
        <v>74</v>
      </c>
      <c r="H54" s="83">
        <v>20</v>
      </c>
      <c r="I54" s="527"/>
      <c r="J54" s="84">
        <f t="shared" si="20"/>
        <v>0</v>
      </c>
      <c r="K54" s="521"/>
      <c r="L54" s="533" t="s">
        <v>2474</v>
      </c>
      <c r="M54" s="530" t="s">
        <v>854</v>
      </c>
      <c r="N54" s="72" t="s">
        <v>860</v>
      </c>
      <c r="O54" s="73">
        <v>0.258</v>
      </c>
      <c r="P54" s="73">
        <f t="shared" si="21"/>
        <v>5.16</v>
      </c>
      <c r="Q54" s="73">
        <v>0.01235</v>
      </c>
      <c r="R54" s="73">
        <f t="shared" si="22"/>
        <v>0.247</v>
      </c>
      <c r="S54" s="73">
        <v>0</v>
      </c>
      <c r="T54" s="74">
        <f t="shared" si="23"/>
        <v>0</v>
      </c>
      <c r="AR54" s="75" t="s">
        <v>71</v>
      </c>
      <c r="AT54" s="75" t="s">
        <v>883</v>
      </c>
      <c r="AU54" s="75" t="s">
        <v>63</v>
      </c>
      <c r="AY54" s="47" t="s">
        <v>881</v>
      </c>
      <c r="BE54" s="76">
        <f t="shared" si="24"/>
        <v>0</v>
      </c>
      <c r="BF54" s="76">
        <f t="shared" si="25"/>
        <v>0</v>
      </c>
      <c r="BG54" s="76">
        <f t="shared" si="26"/>
        <v>0</v>
      </c>
      <c r="BH54" s="76">
        <f t="shared" si="27"/>
        <v>0</v>
      </c>
      <c r="BI54" s="76">
        <f t="shared" si="28"/>
        <v>0</v>
      </c>
      <c r="BJ54" s="47" t="s">
        <v>51</v>
      </c>
      <c r="BK54" s="76">
        <f t="shared" si="29"/>
        <v>0</v>
      </c>
      <c r="BL54" s="47" t="s">
        <v>71</v>
      </c>
      <c r="BM54" s="75" t="s">
        <v>1374</v>
      </c>
    </row>
    <row r="55" spans="3:65" s="48" customFormat="1" ht="24.15" customHeight="1">
      <c r="C55" s="85" t="s">
        <v>226</v>
      </c>
      <c r="D55" s="85" t="s">
        <v>201</v>
      </c>
      <c r="E55" s="86" t="s">
        <v>1375</v>
      </c>
      <c r="F55" s="87" t="s">
        <v>1376</v>
      </c>
      <c r="G55" s="88" t="s">
        <v>260</v>
      </c>
      <c r="H55" s="89">
        <v>5</v>
      </c>
      <c r="I55" s="528"/>
      <c r="J55" s="90">
        <f t="shared" si="20"/>
        <v>0</v>
      </c>
      <c r="K55" s="522"/>
      <c r="L55" s="533" t="s">
        <v>2474</v>
      </c>
      <c r="M55" s="531" t="s">
        <v>854</v>
      </c>
      <c r="N55" s="78" t="s">
        <v>860</v>
      </c>
      <c r="O55" s="73">
        <v>0</v>
      </c>
      <c r="P55" s="73">
        <f t="shared" si="21"/>
        <v>0</v>
      </c>
      <c r="Q55" s="73">
        <v>0.521</v>
      </c>
      <c r="R55" s="73">
        <f t="shared" si="22"/>
        <v>2.605</v>
      </c>
      <c r="S55" s="73">
        <v>0</v>
      </c>
      <c r="T55" s="74">
        <f t="shared" si="23"/>
        <v>0</v>
      </c>
      <c r="AR55" s="75" t="s">
        <v>94</v>
      </c>
      <c r="AT55" s="75" t="s">
        <v>201</v>
      </c>
      <c r="AU55" s="75" t="s">
        <v>63</v>
      </c>
      <c r="AY55" s="47" t="s">
        <v>881</v>
      </c>
      <c r="BE55" s="76">
        <f t="shared" si="24"/>
        <v>0</v>
      </c>
      <c r="BF55" s="76">
        <f t="shared" si="25"/>
        <v>0</v>
      </c>
      <c r="BG55" s="76">
        <f t="shared" si="26"/>
        <v>0</v>
      </c>
      <c r="BH55" s="76">
        <f t="shared" si="27"/>
        <v>0</v>
      </c>
      <c r="BI55" s="76">
        <f t="shared" si="28"/>
        <v>0</v>
      </c>
      <c r="BJ55" s="47" t="s">
        <v>51</v>
      </c>
      <c r="BK55" s="76">
        <f t="shared" si="29"/>
        <v>0</v>
      </c>
      <c r="BL55" s="47" t="s">
        <v>71</v>
      </c>
      <c r="BM55" s="75" t="s">
        <v>1377</v>
      </c>
    </row>
    <row r="56" spans="3:65" s="48" customFormat="1" ht="24.15" customHeight="1">
      <c r="C56" s="79" t="s">
        <v>229</v>
      </c>
      <c r="D56" s="79" t="s">
        <v>883</v>
      </c>
      <c r="E56" s="80" t="s">
        <v>1378</v>
      </c>
      <c r="F56" s="81" t="s">
        <v>1379</v>
      </c>
      <c r="G56" s="82" t="s">
        <v>260</v>
      </c>
      <c r="H56" s="83">
        <v>5</v>
      </c>
      <c r="I56" s="527"/>
      <c r="J56" s="84">
        <f t="shared" si="20"/>
        <v>0</v>
      </c>
      <c r="K56" s="521"/>
      <c r="L56" s="533" t="s">
        <v>2474</v>
      </c>
      <c r="M56" s="530" t="s">
        <v>854</v>
      </c>
      <c r="N56" s="72" t="s">
        <v>860</v>
      </c>
      <c r="O56" s="73">
        <v>1.511</v>
      </c>
      <c r="P56" s="73">
        <f t="shared" si="21"/>
        <v>7.555</v>
      </c>
      <c r="Q56" s="73">
        <v>0.00989</v>
      </c>
      <c r="R56" s="73">
        <f t="shared" si="22"/>
        <v>0.049449999999999994</v>
      </c>
      <c r="S56" s="73">
        <v>0</v>
      </c>
      <c r="T56" s="74">
        <f t="shared" si="23"/>
        <v>0</v>
      </c>
      <c r="AR56" s="75" t="s">
        <v>71</v>
      </c>
      <c r="AT56" s="75" t="s">
        <v>883</v>
      </c>
      <c r="AU56" s="75" t="s">
        <v>63</v>
      </c>
      <c r="AY56" s="47" t="s">
        <v>881</v>
      </c>
      <c r="BE56" s="76">
        <f t="shared" si="24"/>
        <v>0</v>
      </c>
      <c r="BF56" s="76">
        <f t="shared" si="25"/>
        <v>0</v>
      </c>
      <c r="BG56" s="76">
        <f t="shared" si="26"/>
        <v>0</v>
      </c>
      <c r="BH56" s="76">
        <f t="shared" si="27"/>
        <v>0</v>
      </c>
      <c r="BI56" s="76">
        <f t="shared" si="28"/>
        <v>0</v>
      </c>
      <c r="BJ56" s="47" t="s">
        <v>51</v>
      </c>
      <c r="BK56" s="76">
        <f t="shared" si="29"/>
        <v>0</v>
      </c>
      <c r="BL56" s="47" t="s">
        <v>71</v>
      </c>
      <c r="BM56" s="75" t="s">
        <v>1380</v>
      </c>
    </row>
    <row r="57" spans="3:65" s="48" customFormat="1" ht="37.95" customHeight="1">
      <c r="C57" s="79" t="s">
        <v>112</v>
      </c>
      <c r="D57" s="79" t="s">
        <v>883</v>
      </c>
      <c r="E57" s="80" t="s">
        <v>1381</v>
      </c>
      <c r="F57" s="81" t="s">
        <v>1382</v>
      </c>
      <c r="G57" s="82" t="s">
        <v>81</v>
      </c>
      <c r="H57" s="83">
        <v>72.6</v>
      </c>
      <c r="I57" s="527"/>
      <c r="J57" s="84">
        <f t="shared" si="20"/>
        <v>0</v>
      </c>
      <c r="K57" s="521"/>
      <c r="L57" s="533" t="s">
        <v>2474</v>
      </c>
      <c r="M57" s="530" t="s">
        <v>854</v>
      </c>
      <c r="N57" s="72" t="s">
        <v>860</v>
      </c>
      <c r="O57" s="73">
        <v>0.85</v>
      </c>
      <c r="P57" s="73">
        <f t="shared" si="21"/>
        <v>61.709999999999994</v>
      </c>
      <c r="Q57" s="73">
        <v>0.04301</v>
      </c>
      <c r="R57" s="73">
        <f t="shared" si="22"/>
        <v>3.1225259999999997</v>
      </c>
      <c r="S57" s="73">
        <v>0</v>
      </c>
      <c r="T57" s="74">
        <f t="shared" si="23"/>
        <v>0</v>
      </c>
      <c r="AR57" s="75" t="s">
        <v>71</v>
      </c>
      <c r="AT57" s="75" t="s">
        <v>883</v>
      </c>
      <c r="AU57" s="75" t="s">
        <v>63</v>
      </c>
      <c r="AY57" s="47" t="s">
        <v>881</v>
      </c>
      <c r="BE57" s="76">
        <f t="shared" si="24"/>
        <v>0</v>
      </c>
      <c r="BF57" s="76">
        <f t="shared" si="25"/>
        <v>0</v>
      </c>
      <c r="BG57" s="76">
        <f t="shared" si="26"/>
        <v>0</v>
      </c>
      <c r="BH57" s="76">
        <f t="shared" si="27"/>
        <v>0</v>
      </c>
      <c r="BI57" s="76">
        <f t="shared" si="28"/>
        <v>0</v>
      </c>
      <c r="BJ57" s="47" t="s">
        <v>51</v>
      </c>
      <c r="BK57" s="76">
        <f t="shared" si="29"/>
        <v>0</v>
      </c>
      <c r="BL57" s="47" t="s">
        <v>71</v>
      </c>
      <c r="BM57" s="75" t="s">
        <v>1383</v>
      </c>
    </row>
    <row r="58" spans="3:65" s="48" customFormat="1" ht="24.15" customHeight="1">
      <c r="C58" s="79" t="s">
        <v>237</v>
      </c>
      <c r="D58" s="79" t="s">
        <v>883</v>
      </c>
      <c r="E58" s="80" t="s">
        <v>1384</v>
      </c>
      <c r="F58" s="81" t="s">
        <v>1385</v>
      </c>
      <c r="G58" s="82" t="s">
        <v>260</v>
      </c>
      <c r="H58" s="83">
        <v>12</v>
      </c>
      <c r="I58" s="527"/>
      <c r="J58" s="84">
        <f t="shared" si="20"/>
        <v>0</v>
      </c>
      <c r="K58" s="521"/>
      <c r="L58" s="533" t="s">
        <v>2474</v>
      </c>
      <c r="M58" s="530" t="s">
        <v>854</v>
      </c>
      <c r="N58" s="72" t="s">
        <v>860</v>
      </c>
      <c r="O58" s="73">
        <v>0.95</v>
      </c>
      <c r="P58" s="73">
        <f t="shared" si="21"/>
        <v>11.399999999999999</v>
      </c>
      <c r="Q58" s="73">
        <v>0.0725</v>
      </c>
      <c r="R58" s="73">
        <f t="shared" si="22"/>
        <v>0.8699999999999999</v>
      </c>
      <c r="S58" s="73">
        <v>0</v>
      </c>
      <c r="T58" s="74">
        <f t="shared" si="23"/>
        <v>0</v>
      </c>
      <c r="AR58" s="75" t="s">
        <v>71</v>
      </c>
      <c r="AT58" s="75" t="s">
        <v>883</v>
      </c>
      <c r="AU58" s="75" t="s">
        <v>63</v>
      </c>
      <c r="AY58" s="47" t="s">
        <v>881</v>
      </c>
      <c r="BE58" s="76">
        <f t="shared" si="24"/>
        <v>0</v>
      </c>
      <c r="BF58" s="76">
        <f t="shared" si="25"/>
        <v>0</v>
      </c>
      <c r="BG58" s="76">
        <f t="shared" si="26"/>
        <v>0</v>
      </c>
      <c r="BH58" s="76">
        <f t="shared" si="27"/>
        <v>0</v>
      </c>
      <c r="BI58" s="76">
        <f t="shared" si="28"/>
        <v>0</v>
      </c>
      <c r="BJ58" s="47" t="s">
        <v>51</v>
      </c>
      <c r="BK58" s="76">
        <f t="shared" si="29"/>
        <v>0</v>
      </c>
      <c r="BL58" s="47" t="s">
        <v>71</v>
      </c>
      <c r="BM58" s="75" t="s">
        <v>1386</v>
      </c>
    </row>
    <row r="59" spans="3:65" s="48" customFormat="1" ht="24.15" customHeight="1">
      <c r="C59" s="79" t="s">
        <v>243</v>
      </c>
      <c r="D59" s="79" t="s">
        <v>883</v>
      </c>
      <c r="E59" s="80" t="s">
        <v>1279</v>
      </c>
      <c r="F59" s="81" t="s">
        <v>1280</v>
      </c>
      <c r="G59" s="82" t="s">
        <v>260</v>
      </c>
      <c r="H59" s="83">
        <v>5</v>
      </c>
      <c r="I59" s="527"/>
      <c r="J59" s="84">
        <f t="shared" si="20"/>
        <v>0</v>
      </c>
      <c r="K59" s="521"/>
      <c r="L59" s="533" t="s">
        <v>2474</v>
      </c>
      <c r="M59" s="530" t="s">
        <v>854</v>
      </c>
      <c r="N59" s="72" t="s">
        <v>860</v>
      </c>
      <c r="O59" s="73">
        <v>1.694</v>
      </c>
      <c r="P59" s="73">
        <f t="shared" si="21"/>
        <v>8.469999999999999</v>
      </c>
      <c r="Q59" s="73">
        <v>0.21734</v>
      </c>
      <c r="R59" s="73">
        <f t="shared" si="22"/>
        <v>1.0867</v>
      </c>
      <c r="S59" s="73">
        <v>0</v>
      </c>
      <c r="T59" s="74">
        <f t="shared" si="23"/>
        <v>0</v>
      </c>
      <c r="AR59" s="75" t="s">
        <v>71</v>
      </c>
      <c r="AT59" s="75" t="s">
        <v>883</v>
      </c>
      <c r="AU59" s="75" t="s">
        <v>63</v>
      </c>
      <c r="AY59" s="47" t="s">
        <v>881</v>
      </c>
      <c r="BE59" s="76">
        <f t="shared" si="24"/>
        <v>0</v>
      </c>
      <c r="BF59" s="76">
        <f t="shared" si="25"/>
        <v>0</v>
      </c>
      <c r="BG59" s="76">
        <f t="shared" si="26"/>
        <v>0</v>
      </c>
      <c r="BH59" s="76">
        <f t="shared" si="27"/>
        <v>0</v>
      </c>
      <c r="BI59" s="76">
        <f t="shared" si="28"/>
        <v>0</v>
      </c>
      <c r="BJ59" s="47" t="s">
        <v>51</v>
      </c>
      <c r="BK59" s="76">
        <f t="shared" si="29"/>
        <v>0</v>
      </c>
      <c r="BL59" s="47" t="s">
        <v>71</v>
      </c>
      <c r="BM59" s="75" t="s">
        <v>1387</v>
      </c>
    </row>
    <row r="60" spans="3:65" s="48" customFormat="1" ht="16.5" customHeight="1">
      <c r="C60" s="85" t="s">
        <v>144</v>
      </c>
      <c r="D60" s="85" t="s">
        <v>201</v>
      </c>
      <c r="E60" s="86" t="s">
        <v>1388</v>
      </c>
      <c r="F60" s="87" t="s">
        <v>1389</v>
      </c>
      <c r="G60" s="88" t="s">
        <v>260</v>
      </c>
      <c r="H60" s="89">
        <v>5</v>
      </c>
      <c r="I60" s="528"/>
      <c r="J60" s="90">
        <f t="shared" si="20"/>
        <v>0</v>
      </c>
      <c r="K60" s="522"/>
      <c r="L60" s="533" t="s">
        <v>2130</v>
      </c>
      <c r="M60" s="531" t="s">
        <v>854</v>
      </c>
      <c r="N60" s="78" t="s">
        <v>860</v>
      </c>
      <c r="O60" s="73">
        <v>0</v>
      </c>
      <c r="P60" s="73">
        <f t="shared" si="21"/>
        <v>0</v>
      </c>
      <c r="Q60" s="73">
        <v>0.156</v>
      </c>
      <c r="R60" s="73">
        <f t="shared" si="22"/>
        <v>0.78</v>
      </c>
      <c r="S60" s="73">
        <v>0</v>
      </c>
      <c r="T60" s="74">
        <f t="shared" si="23"/>
        <v>0</v>
      </c>
      <c r="AR60" s="75" t="s">
        <v>94</v>
      </c>
      <c r="AT60" s="75" t="s">
        <v>201</v>
      </c>
      <c r="AU60" s="75" t="s">
        <v>63</v>
      </c>
      <c r="AY60" s="47" t="s">
        <v>881</v>
      </c>
      <c r="BE60" s="76">
        <f t="shared" si="24"/>
        <v>0</v>
      </c>
      <c r="BF60" s="76">
        <f t="shared" si="25"/>
        <v>0</v>
      </c>
      <c r="BG60" s="76">
        <f t="shared" si="26"/>
        <v>0</v>
      </c>
      <c r="BH60" s="76">
        <f t="shared" si="27"/>
        <v>0</v>
      </c>
      <c r="BI60" s="76">
        <f t="shared" si="28"/>
        <v>0</v>
      </c>
      <c r="BJ60" s="47" t="s">
        <v>51</v>
      </c>
      <c r="BK60" s="76">
        <f t="shared" si="29"/>
        <v>0</v>
      </c>
      <c r="BL60" s="47" t="s">
        <v>71</v>
      </c>
      <c r="BM60" s="75" t="s">
        <v>1390</v>
      </c>
    </row>
    <row r="61" spans="3:65" s="48" customFormat="1" ht="24.15" customHeight="1">
      <c r="C61" s="79" t="s">
        <v>250</v>
      </c>
      <c r="D61" s="79" t="s">
        <v>883</v>
      </c>
      <c r="E61" s="80" t="s">
        <v>1391</v>
      </c>
      <c r="F61" s="81" t="s">
        <v>1392</v>
      </c>
      <c r="G61" s="82" t="s">
        <v>260</v>
      </c>
      <c r="H61" s="83">
        <v>80</v>
      </c>
      <c r="I61" s="527"/>
      <c r="J61" s="84">
        <f t="shared" si="20"/>
        <v>0</v>
      </c>
      <c r="K61" s="521"/>
      <c r="L61" s="533" t="s">
        <v>2474</v>
      </c>
      <c r="M61" s="530" t="s">
        <v>854</v>
      </c>
      <c r="N61" s="72" t="s">
        <v>860</v>
      </c>
      <c r="O61" s="73">
        <v>0.14</v>
      </c>
      <c r="P61" s="73">
        <f t="shared" si="21"/>
        <v>11.200000000000001</v>
      </c>
      <c r="Q61" s="73">
        <v>0.00136</v>
      </c>
      <c r="R61" s="73">
        <f t="shared" si="22"/>
        <v>0.10880000000000001</v>
      </c>
      <c r="S61" s="73">
        <v>0</v>
      </c>
      <c r="T61" s="74">
        <f t="shared" si="23"/>
        <v>0</v>
      </c>
      <c r="AR61" s="75" t="s">
        <v>71</v>
      </c>
      <c r="AT61" s="75" t="s">
        <v>883</v>
      </c>
      <c r="AU61" s="75" t="s">
        <v>63</v>
      </c>
      <c r="AY61" s="47" t="s">
        <v>881</v>
      </c>
      <c r="BE61" s="76">
        <f t="shared" si="24"/>
        <v>0</v>
      </c>
      <c r="BF61" s="76">
        <f t="shared" si="25"/>
        <v>0</v>
      </c>
      <c r="BG61" s="76">
        <f t="shared" si="26"/>
        <v>0</v>
      </c>
      <c r="BH61" s="76">
        <f t="shared" si="27"/>
        <v>0</v>
      </c>
      <c r="BI61" s="76">
        <f t="shared" si="28"/>
        <v>0</v>
      </c>
      <c r="BJ61" s="47" t="s">
        <v>51</v>
      </c>
      <c r="BK61" s="76">
        <f t="shared" si="29"/>
        <v>0</v>
      </c>
      <c r="BL61" s="47" t="s">
        <v>71</v>
      </c>
      <c r="BM61" s="75" t="s">
        <v>1393</v>
      </c>
    </row>
    <row r="62" spans="3:65" s="48" customFormat="1" ht="24.15" customHeight="1">
      <c r="C62" s="79" t="s">
        <v>253</v>
      </c>
      <c r="D62" s="79" t="s">
        <v>883</v>
      </c>
      <c r="E62" s="80" t="s">
        <v>1284</v>
      </c>
      <c r="F62" s="81" t="s">
        <v>1285</v>
      </c>
      <c r="G62" s="82" t="s">
        <v>81</v>
      </c>
      <c r="H62" s="83">
        <v>10.4</v>
      </c>
      <c r="I62" s="527"/>
      <c r="J62" s="84">
        <f t="shared" si="20"/>
        <v>0</v>
      </c>
      <c r="K62" s="521"/>
      <c r="L62" s="533" t="s">
        <v>2474</v>
      </c>
      <c r="M62" s="530" t="s">
        <v>854</v>
      </c>
      <c r="N62" s="72" t="s">
        <v>860</v>
      </c>
      <c r="O62" s="73">
        <v>1.319</v>
      </c>
      <c r="P62" s="73">
        <f t="shared" si="21"/>
        <v>13.7176</v>
      </c>
      <c r="Q62" s="73">
        <v>0</v>
      </c>
      <c r="R62" s="73">
        <f t="shared" si="22"/>
        <v>0</v>
      </c>
      <c r="S62" s="73">
        <v>0</v>
      </c>
      <c r="T62" s="74">
        <f t="shared" si="23"/>
        <v>0</v>
      </c>
      <c r="AR62" s="75" t="s">
        <v>71</v>
      </c>
      <c r="AT62" s="75" t="s">
        <v>883</v>
      </c>
      <c r="AU62" s="75" t="s">
        <v>63</v>
      </c>
      <c r="AY62" s="47" t="s">
        <v>881</v>
      </c>
      <c r="BE62" s="76">
        <f t="shared" si="24"/>
        <v>0</v>
      </c>
      <c r="BF62" s="76">
        <f t="shared" si="25"/>
        <v>0</v>
      </c>
      <c r="BG62" s="76">
        <f t="shared" si="26"/>
        <v>0</v>
      </c>
      <c r="BH62" s="76">
        <f t="shared" si="27"/>
        <v>0</v>
      </c>
      <c r="BI62" s="76">
        <f t="shared" si="28"/>
        <v>0</v>
      </c>
      <c r="BJ62" s="47" t="s">
        <v>51</v>
      </c>
      <c r="BK62" s="76">
        <f t="shared" si="29"/>
        <v>0</v>
      </c>
      <c r="BL62" s="47" t="s">
        <v>71</v>
      </c>
      <c r="BM62" s="75" t="s">
        <v>1394</v>
      </c>
    </row>
    <row r="63" spans="4:63" s="64" customFormat="1" ht="22.95" customHeight="1">
      <c r="D63" s="65" t="s">
        <v>877</v>
      </c>
      <c r="E63" s="205" t="s">
        <v>98</v>
      </c>
      <c r="F63" s="205" t="s">
        <v>1139</v>
      </c>
      <c r="J63" s="206">
        <f>BK63</f>
        <v>0</v>
      </c>
      <c r="P63" s="67">
        <f>P64</f>
        <v>82.4</v>
      </c>
      <c r="R63" s="67">
        <f>R64</f>
        <v>0.3708</v>
      </c>
      <c r="T63" s="68">
        <f>T64</f>
        <v>0</v>
      </c>
      <c r="AR63" s="65" t="s">
        <v>51</v>
      </c>
      <c r="AT63" s="69" t="s">
        <v>877</v>
      </c>
      <c r="AU63" s="69" t="s">
        <v>51</v>
      </c>
      <c r="AY63" s="65" t="s">
        <v>881</v>
      </c>
      <c r="BK63" s="70">
        <f>BK64</f>
        <v>0</v>
      </c>
    </row>
    <row r="64" spans="3:65" s="48" customFormat="1" ht="24.15" customHeight="1">
      <c r="C64" s="79" t="s">
        <v>257</v>
      </c>
      <c r="D64" s="79" t="s">
        <v>883</v>
      </c>
      <c r="E64" s="80" t="s">
        <v>1395</v>
      </c>
      <c r="F64" s="81" t="s">
        <v>1396</v>
      </c>
      <c r="G64" s="82" t="s">
        <v>54</v>
      </c>
      <c r="H64" s="83">
        <v>1030</v>
      </c>
      <c r="I64" s="527"/>
      <c r="J64" s="84">
        <f>ROUND(I64*H64,2)</f>
        <v>0</v>
      </c>
      <c r="K64" s="521"/>
      <c r="L64" s="533" t="s">
        <v>2474</v>
      </c>
      <c r="M64" s="530" t="s">
        <v>854</v>
      </c>
      <c r="N64" s="72" t="s">
        <v>860</v>
      </c>
      <c r="O64" s="73">
        <v>0.08</v>
      </c>
      <c r="P64" s="73">
        <f>O64*H64</f>
        <v>82.4</v>
      </c>
      <c r="Q64" s="73">
        <v>0.00036</v>
      </c>
      <c r="R64" s="73">
        <f>Q64*H64</f>
        <v>0.3708</v>
      </c>
      <c r="S64" s="73">
        <v>0</v>
      </c>
      <c r="T64" s="74">
        <f>S64*H64</f>
        <v>0</v>
      </c>
      <c r="AR64" s="75" t="s">
        <v>71</v>
      </c>
      <c r="AT64" s="75" t="s">
        <v>883</v>
      </c>
      <c r="AU64" s="75" t="s">
        <v>63</v>
      </c>
      <c r="AY64" s="47" t="s">
        <v>881</v>
      </c>
      <c r="BE64" s="76">
        <f>IF(N64="základní",J64,0)</f>
        <v>0</v>
      </c>
      <c r="BF64" s="76">
        <f>IF(N64="snížená",J64,0)</f>
        <v>0</v>
      </c>
      <c r="BG64" s="76">
        <f>IF(N64="zákl. přenesená",J64,0)</f>
        <v>0</v>
      </c>
      <c r="BH64" s="76">
        <f>IF(N64="sníž. přenesená",J64,0)</f>
        <v>0</v>
      </c>
      <c r="BI64" s="76">
        <f>IF(N64="nulová",J64,0)</f>
        <v>0</v>
      </c>
      <c r="BJ64" s="47" t="s">
        <v>51</v>
      </c>
      <c r="BK64" s="76">
        <f>ROUND(I64*H64,2)</f>
        <v>0</v>
      </c>
      <c r="BL64" s="47" t="s">
        <v>71</v>
      </c>
      <c r="BM64" s="75" t="s">
        <v>1397</v>
      </c>
    </row>
    <row r="65" spans="4:63" s="64" customFormat="1" ht="22.95" customHeight="1">
      <c r="D65" s="65" t="s">
        <v>877</v>
      </c>
      <c r="E65" s="205" t="s">
        <v>1165</v>
      </c>
      <c r="F65" s="205" t="s">
        <v>1166</v>
      </c>
      <c r="J65" s="206">
        <f>BK65</f>
        <v>0</v>
      </c>
      <c r="P65" s="67">
        <f>SUM(P66:P68)</f>
        <v>677.4312379999999</v>
      </c>
      <c r="R65" s="67">
        <f>SUM(R66:R68)</f>
        <v>0</v>
      </c>
      <c r="T65" s="68">
        <f>SUM(T66:T68)</f>
        <v>0</v>
      </c>
      <c r="AR65" s="65" t="s">
        <v>51</v>
      </c>
      <c r="AT65" s="69" t="s">
        <v>877</v>
      </c>
      <c r="AU65" s="69" t="s">
        <v>51</v>
      </c>
      <c r="AY65" s="65" t="s">
        <v>881</v>
      </c>
      <c r="BK65" s="70">
        <f>SUM(BK66:BK68)</f>
        <v>0</v>
      </c>
    </row>
    <row r="66" spans="3:65" s="48" customFormat="1" ht="16.5" customHeight="1">
      <c r="C66" s="79" t="s">
        <v>262</v>
      </c>
      <c r="D66" s="79" t="s">
        <v>883</v>
      </c>
      <c r="E66" s="80" t="s">
        <v>1398</v>
      </c>
      <c r="F66" s="81" t="s">
        <v>1399</v>
      </c>
      <c r="G66" s="82" t="s">
        <v>125</v>
      </c>
      <c r="H66" s="83">
        <v>77.943</v>
      </c>
      <c r="I66" s="527"/>
      <c r="J66" s="84">
        <f>ROUND(I66*H66,2)</f>
        <v>0</v>
      </c>
      <c r="K66" s="521"/>
      <c r="L66" s="533" t="s">
        <v>2474</v>
      </c>
      <c r="M66" s="530" t="s">
        <v>854</v>
      </c>
      <c r="N66" s="72" t="s">
        <v>860</v>
      </c>
      <c r="O66" s="73">
        <v>0.889</v>
      </c>
      <c r="P66" s="73">
        <f>O66*H66</f>
        <v>69.291327</v>
      </c>
      <c r="Q66" s="73">
        <v>0</v>
      </c>
      <c r="R66" s="73">
        <f>Q66*H66</f>
        <v>0</v>
      </c>
      <c r="S66" s="73">
        <v>0</v>
      </c>
      <c r="T66" s="74">
        <f>S66*H66</f>
        <v>0</v>
      </c>
      <c r="AR66" s="75" t="s">
        <v>71</v>
      </c>
      <c r="AT66" s="75" t="s">
        <v>883</v>
      </c>
      <c r="AU66" s="75" t="s">
        <v>63</v>
      </c>
      <c r="AY66" s="47" t="s">
        <v>881</v>
      </c>
      <c r="BE66" s="76">
        <f>IF(N66="základní",J66,0)</f>
        <v>0</v>
      </c>
      <c r="BF66" s="76">
        <f>IF(N66="snížená",J66,0)</f>
        <v>0</v>
      </c>
      <c r="BG66" s="76">
        <f>IF(N66="zákl. přenesená",J66,0)</f>
        <v>0</v>
      </c>
      <c r="BH66" s="76">
        <f>IF(N66="sníž. přenesená",J66,0)</f>
        <v>0</v>
      </c>
      <c r="BI66" s="76">
        <f>IF(N66="nulová",J66,0)</f>
        <v>0</v>
      </c>
      <c r="BJ66" s="47" t="s">
        <v>51</v>
      </c>
      <c r="BK66" s="76">
        <f>ROUND(I66*H66,2)</f>
        <v>0</v>
      </c>
      <c r="BL66" s="47" t="s">
        <v>71</v>
      </c>
      <c r="BM66" s="75" t="s">
        <v>1400</v>
      </c>
    </row>
    <row r="67" spans="3:65" s="48" customFormat="1" ht="24.15" customHeight="1">
      <c r="C67" s="79" t="s">
        <v>266</v>
      </c>
      <c r="D67" s="79" t="s">
        <v>883</v>
      </c>
      <c r="E67" s="80" t="s">
        <v>1287</v>
      </c>
      <c r="F67" s="81" t="s">
        <v>1288</v>
      </c>
      <c r="G67" s="82" t="s">
        <v>125</v>
      </c>
      <c r="H67" s="83">
        <v>26.911</v>
      </c>
      <c r="I67" s="527"/>
      <c r="J67" s="84">
        <f>ROUND(I67*H67,2)</f>
        <v>0</v>
      </c>
      <c r="K67" s="521"/>
      <c r="L67" s="533" t="s">
        <v>2474</v>
      </c>
      <c r="M67" s="530" t="s">
        <v>854</v>
      </c>
      <c r="N67" s="72" t="s">
        <v>860</v>
      </c>
      <c r="O67" s="73">
        <v>0.761</v>
      </c>
      <c r="P67" s="73">
        <f>O67*H67</f>
        <v>20.479271</v>
      </c>
      <c r="Q67" s="73">
        <v>0</v>
      </c>
      <c r="R67" s="73">
        <f>Q67*H67</f>
        <v>0</v>
      </c>
      <c r="S67" s="73">
        <v>0</v>
      </c>
      <c r="T67" s="74">
        <f>S67*H67</f>
        <v>0</v>
      </c>
      <c r="AR67" s="75" t="s">
        <v>71</v>
      </c>
      <c r="AT67" s="75" t="s">
        <v>883</v>
      </c>
      <c r="AU67" s="75" t="s">
        <v>63</v>
      </c>
      <c r="AY67" s="47" t="s">
        <v>881</v>
      </c>
      <c r="BE67" s="76">
        <f>IF(N67="základní",J67,0)</f>
        <v>0</v>
      </c>
      <c r="BF67" s="76">
        <f>IF(N67="snížená",J67,0)</f>
        <v>0</v>
      </c>
      <c r="BG67" s="76">
        <f>IF(N67="zákl. přenesená",J67,0)</f>
        <v>0</v>
      </c>
      <c r="BH67" s="76">
        <f>IF(N67="sníž. přenesená",J67,0)</f>
        <v>0</v>
      </c>
      <c r="BI67" s="76">
        <f>IF(N67="nulová",J67,0)</f>
        <v>0</v>
      </c>
      <c r="BJ67" s="47" t="s">
        <v>51</v>
      </c>
      <c r="BK67" s="76">
        <f>ROUND(I67*H67,2)</f>
        <v>0</v>
      </c>
      <c r="BL67" s="47" t="s">
        <v>71</v>
      </c>
      <c r="BM67" s="75" t="s">
        <v>1401</v>
      </c>
    </row>
    <row r="68" spans="3:65" s="48" customFormat="1" ht="24.15" customHeight="1">
      <c r="C68" s="79" t="s">
        <v>270</v>
      </c>
      <c r="D68" s="79" t="s">
        <v>883</v>
      </c>
      <c r="E68" s="80" t="s">
        <v>1402</v>
      </c>
      <c r="F68" s="81" t="s">
        <v>1403</v>
      </c>
      <c r="G68" s="82" t="s">
        <v>125</v>
      </c>
      <c r="H68" s="83">
        <v>397.068</v>
      </c>
      <c r="I68" s="527"/>
      <c r="J68" s="84">
        <f>ROUND(I68*H68,2)</f>
        <v>0</v>
      </c>
      <c r="K68" s="521"/>
      <c r="L68" s="533" t="s">
        <v>2474</v>
      </c>
      <c r="M68" s="530" t="s">
        <v>854</v>
      </c>
      <c r="N68" s="72" t="s">
        <v>860</v>
      </c>
      <c r="O68" s="73">
        <v>1.48</v>
      </c>
      <c r="P68" s="73">
        <f>O68*H68</f>
        <v>587.66064</v>
      </c>
      <c r="Q68" s="73">
        <v>0</v>
      </c>
      <c r="R68" s="73">
        <f>Q68*H68</f>
        <v>0</v>
      </c>
      <c r="S68" s="73">
        <v>0</v>
      </c>
      <c r="T68" s="74">
        <f>S68*H68</f>
        <v>0</v>
      </c>
      <c r="AR68" s="75" t="s">
        <v>71</v>
      </c>
      <c r="AT68" s="75" t="s">
        <v>883</v>
      </c>
      <c r="AU68" s="75" t="s">
        <v>63</v>
      </c>
      <c r="AY68" s="47" t="s">
        <v>881</v>
      </c>
      <c r="BE68" s="76">
        <f>IF(N68="základní",J68,0)</f>
        <v>0</v>
      </c>
      <c r="BF68" s="76">
        <f>IF(N68="snížená",J68,0)</f>
        <v>0</v>
      </c>
      <c r="BG68" s="76">
        <f>IF(N68="zákl. přenesená",J68,0)</f>
        <v>0</v>
      </c>
      <c r="BH68" s="76">
        <f>IF(N68="sníž. přenesená",J68,0)</f>
        <v>0</v>
      </c>
      <c r="BI68" s="76">
        <f>IF(N68="nulová",J68,0)</f>
        <v>0</v>
      </c>
      <c r="BJ68" s="47" t="s">
        <v>51</v>
      </c>
      <c r="BK68" s="76">
        <f>ROUND(I68*H68,2)</f>
        <v>0</v>
      </c>
      <c r="BL68" s="47" t="s">
        <v>71</v>
      </c>
      <c r="BM68" s="75" t="s">
        <v>1404</v>
      </c>
    </row>
    <row r="69" spans="4:63" s="64" customFormat="1" ht="25.95" customHeight="1">
      <c r="D69" s="65" t="s">
        <v>877</v>
      </c>
      <c r="E69" s="203" t="s">
        <v>1170</v>
      </c>
      <c r="F69" s="203" t="s">
        <v>1171</v>
      </c>
      <c r="J69" s="204">
        <f>BK69</f>
        <v>0</v>
      </c>
      <c r="P69" s="67">
        <f>P70</f>
        <v>0</v>
      </c>
      <c r="R69" s="67">
        <f>R70</f>
        <v>0</v>
      </c>
      <c r="T69" s="68">
        <f>T70</f>
        <v>0</v>
      </c>
      <c r="AR69" s="65" t="s">
        <v>78</v>
      </c>
      <c r="AT69" s="69" t="s">
        <v>877</v>
      </c>
      <c r="AU69" s="69" t="s">
        <v>880</v>
      </c>
      <c r="AY69" s="65" t="s">
        <v>881</v>
      </c>
      <c r="BK69" s="70">
        <f>BK70</f>
        <v>0</v>
      </c>
    </row>
    <row r="70" spans="4:63" s="64" customFormat="1" ht="22.95" customHeight="1">
      <c r="D70" s="65" t="s">
        <v>877</v>
      </c>
      <c r="E70" s="205" t="s">
        <v>1172</v>
      </c>
      <c r="F70" s="205" t="s">
        <v>1173</v>
      </c>
      <c r="J70" s="206">
        <f>BK70</f>
        <v>0</v>
      </c>
      <c r="P70" s="67">
        <f>SUM(P71:P72)</f>
        <v>0</v>
      </c>
      <c r="R70" s="67">
        <f>SUM(R71:R72)</f>
        <v>0</v>
      </c>
      <c r="T70" s="68">
        <f>SUM(T71:T72)</f>
        <v>0</v>
      </c>
      <c r="AR70" s="65" t="s">
        <v>78</v>
      </c>
      <c r="AT70" s="69" t="s">
        <v>877</v>
      </c>
      <c r="AU70" s="69" t="s">
        <v>51</v>
      </c>
      <c r="AY70" s="65" t="s">
        <v>881</v>
      </c>
      <c r="BK70" s="70">
        <f>SUM(BK71:BK72)</f>
        <v>0</v>
      </c>
    </row>
    <row r="71" spans="3:65" s="48" customFormat="1" ht="16.5" customHeight="1">
      <c r="C71" s="79" t="s">
        <v>275</v>
      </c>
      <c r="D71" s="79" t="s">
        <v>883</v>
      </c>
      <c r="E71" s="80" t="s">
        <v>1178</v>
      </c>
      <c r="F71" s="81" t="s">
        <v>1405</v>
      </c>
      <c r="G71" s="82" t="s">
        <v>1134</v>
      </c>
      <c r="H71" s="83">
        <v>1</v>
      </c>
      <c r="I71" s="527"/>
      <c r="J71" s="84">
        <f>ROUND(I71*H71,2)</f>
        <v>0</v>
      </c>
      <c r="K71" s="521"/>
      <c r="L71" s="533" t="s">
        <v>2474</v>
      </c>
      <c r="M71" s="530" t="s">
        <v>854</v>
      </c>
      <c r="N71" s="72" t="s">
        <v>860</v>
      </c>
      <c r="O71" s="73">
        <v>0</v>
      </c>
      <c r="P71" s="73">
        <f>O71*H71</f>
        <v>0</v>
      </c>
      <c r="Q71" s="73">
        <v>0</v>
      </c>
      <c r="R71" s="73">
        <f>Q71*H71</f>
        <v>0</v>
      </c>
      <c r="S71" s="73">
        <v>0</v>
      </c>
      <c r="T71" s="74">
        <f>S71*H71</f>
        <v>0</v>
      </c>
      <c r="AR71" s="75" t="s">
        <v>1176</v>
      </c>
      <c r="AT71" s="75" t="s">
        <v>883</v>
      </c>
      <c r="AU71" s="75" t="s">
        <v>63</v>
      </c>
      <c r="AY71" s="47" t="s">
        <v>881</v>
      </c>
      <c r="BE71" s="76">
        <f>IF(N71="základní",J71,0)</f>
        <v>0</v>
      </c>
      <c r="BF71" s="76">
        <f>IF(N71="snížená",J71,0)</f>
        <v>0</v>
      </c>
      <c r="BG71" s="76">
        <f>IF(N71="zákl. přenesená",J71,0)</f>
        <v>0</v>
      </c>
      <c r="BH71" s="76">
        <f>IF(N71="sníž. přenesená",J71,0)</f>
        <v>0</v>
      </c>
      <c r="BI71" s="76">
        <f>IF(N71="nulová",J71,0)</f>
        <v>0</v>
      </c>
      <c r="BJ71" s="47" t="s">
        <v>51</v>
      </c>
      <c r="BK71" s="76">
        <f>ROUND(I71*H71,2)</f>
        <v>0</v>
      </c>
      <c r="BL71" s="47" t="s">
        <v>1176</v>
      </c>
      <c r="BM71" s="75" t="s">
        <v>1406</v>
      </c>
    </row>
    <row r="72" spans="3:65" s="48" customFormat="1" ht="16.5" customHeight="1">
      <c r="C72" s="79" t="s">
        <v>281</v>
      </c>
      <c r="D72" s="79" t="s">
        <v>883</v>
      </c>
      <c r="E72" s="80" t="s">
        <v>1181</v>
      </c>
      <c r="F72" s="81" t="s">
        <v>1182</v>
      </c>
      <c r="G72" s="82" t="s">
        <v>1134</v>
      </c>
      <c r="H72" s="83">
        <v>1</v>
      </c>
      <c r="I72" s="527"/>
      <c r="J72" s="84">
        <f>ROUND(I72*H72,2)</f>
        <v>0</v>
      </c>
      <c r="K72" s="521"/>
      <c r="L72" s="533" t="s">
        <v>2474</v>
      </c>
      <c r="M72" s="532" t="s">
        <v>854</v>
      </c>
      <c r="N72" s="92" t="s">
        <v>860</v>
      </c>
      <c r="O72" s="93">
        <v>0</v>
      </c>
      <c r="P72" s="93">
        <f>O72*H72</f>
        <v>0</v>
      </c>
      <c r="Q72" s="93">
        <v>0</v>
      </c>
      <c r="R72" s="93">
        <f>Q72*H72</f>
        <v>0</v>
      </c>
      <c r="S72" s="93">
        <v>0</v>
      </c>
      <c r="T72" s="94">
        <f>S72*H72</f>
        <v>0</v>
      </c>
      <c r="AR72" s="75" t="s">
        <v>1176</v>
      </c>
      <c r="AT72" s="75" t="s">
        <v>883</v>
      </c>
      <c r="AU72" s="75" t="s">
        <v>63</v>
      </c>
      <c r="AY72" s="47" t="s">
        <v>881</v>
      </c>
      <c r="BE72" s="76">
        <f>IF(N72="základní",J72,0)</f>
        <v>0</v>
      </c>
      <c r="BF72" s="76">
        <f>IF(N72="snížená",J72,0)</f>
        <v>0</v>
      </c>
      <c r="BG72" s="76">
        <f>IF(N72="zákl. přenesená",J72,0)</f>
        <v>0</v>
      </c>
      <c r="BH72" s="76">
        <f>IF(N72="sníž. přenesená",J72,0)</f>
        <v>0</v>
      </c>
      <c r="BI72" s="76">
        <f>IF(N72="nulová",J72,0)</f>
        <v>0</v>
      </c>
      <c r="BJ72" s="47" t="s">
        <v>51</v>
      </c>
      <c r="BK72" s="76">
        <f>ROUND(I72*H72,2)</f>
        <v>0</v>
      </c>
      <c r="BL72" s="47" t="s">
        <v>1176</v>
      </c>
      <c r="BM72" s="75" t="s">
        <v>1407</v>
      </c>
    </row>
    <row r="73" s="48" customFormat="1" ht="6.9" customHeight="1">
      <c r="K73" s="50"/>
    </row>
  </sheetData>
  <sheetProtection algorithmName="SHA-512" hashValue="Y1ig9/93L2agdtmWyjtgddBPjqc8mqtlTlATQvT6G0qnrQOXiRVWqUc6hP4FnWX/mWrVTgYxci5CEemAqPmSmQ==" saltValue="KF9tbDVZBPvYy+JyFL7fRA==" spinCount="100000" sheet="1" objects="1" scenarios="1"/>
  <mergeCells count="2">
    <mergeCell ref="E6:H6"/>
    <mergeCell ref="E8:H8"/>
  </mergeCells>
  <printOptions/>
  <pageMargins left="0.7086614173228347" right="0.7086614173228347" top="0.7874015748031497" bottom="0.7874015748031497" header="0.31496062992125984" footer="0.31496062992125984"/>
  <pageSetup fitToHeight="100" fitToWidth="1" horizontalDpi="600" verticalDpi="600" orientation="portrait" paperSize="9" scale="74"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413B-A119-4A4C-B382-4EFFE243D0C5}">
  <sheetPr>
    <pageSetUpPr fitToPage="1"/>
  </sheetPr>
  <dimension ref="C2:BM94"/>
  <sheetViews>
    <sheetView showGridLines="0" view="pageBreakPreview" zoomScale="115" zoomScaleSheetLayoutView="115" workbookViewId="0" topLeftCell="A70">
      <selection activeCell="F92" sqref="F92"/>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8.14062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120" width="9.140625" style="0" hidden="1" customWidth="1"/>
    <col min="121" max="121" width="1.1484375" style="0" customWidth="1"/>
    <col min="122" max="122" width="0.71875" style="0"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1597</v>
      </c>
      <c r="F6" s="646"/>
      <c r="G6" s="646"/>
      <c r="H6" s="646"/>
    </row>
    <row r="7" s="48" customFormat="1" ht="12" customHeight="1">
      <c r="C7" s="197" t="s">
        <v>852</v>
      </c>
    </row>
    <row r="8" spans="5:8" s="48" customFormat="1" ht="30" customHeight="1">
      <c r="E8" s="647" t="s">
        <v>1409</v>
      </c>
      <c r="F8" s="648"/>
      <c r="G8" s="648"/>
      <c r="H8" s="648"/>
    </row>
    <row r="9" s="48" customFormat="1" ht="6.9" customHeight="1"/>
    <row r="10" spans="3:10" s="48" customFormat="1" ht="12" customHeight="1">
      <c r="C10" s="197" t="s">
        <v>855</v>
      </c>
      <c r="F10" s="198" t="s">
        <v>1410</v>
      </c>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35"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P17+P55</f>
        <v>267.49335400000007</v>
      </c>
      <c r="Q16" s="49"/>
      <c r="R16" s="61">
        <f>R17+R55</f>
        <v>14.566423359999998</v>
      </c>
      <c r="S16" s="49"/>
      <c r="T16" s="62">
        <f>T17+T55</f>
        <v>0</v>
      </c>
      <c r="AT16" s="47" t="s">
        <v>877</v>
      </c>
      <c r="AU16" s="47" t="s">
        <v>863</v>
      </c>
      <c r="BK16" s="63">
        <f>BK17+BK55</f>
        <v>0</v>
      </c>
    </row>
    <row r="17" spans="4:63" s="64" customFormat="1" ht="25.95" customHeight="1">
      <c r="D17" s="65" t="s">
        <v>877</v>
      </c>
      <c r="E17" s="203" t="s">
        <v>1411</v>
      </c>
      <c r="F17" s="203" t="s">
        <v>1412</v>
      </c>
      <c r="J17" s="204">
        <f>BK17</f>
        <v>0</v>
      </c>
      <c r="P17" s="67">
        <f>P18+P39</f>
        <v>99.562</v>
      </c>
      <c r="R17" s="67">
        <f>R18+R39</f>
        <v>0.20229999999999998</v>
      </c>
      <c r="T17" s="68">
        <f>T18+T39</f>
        <v>0</v>
      </c>
      <c r="AR17" s="65" t="s">
        <v>67</v>
      </c>
      <c r="AT17" s="69" t="s">
        <v>877</v>
      </c>
      <c r="AU17" s="69" t="s">
        <v>880</v>
      </c>
      <c r="AY17" s="65" t="s">
        <v>881</v>
      </c>
      <c r="BK17" s="70">
        <f>BK18+BK39</f>
        <v>0</v>
      </c>
    </row>
    <row r="18" spans="4:63" s="64" customFormat="1" ht="22.95" customHeight="1">
      <c r="D18" s="65" t="s">
        <v>877</v>
      </c>
      <c r="E18" s="205" t="s">
        <v>1413</v>
      </c>
      <c r="F18" s="205" t="s">
        <v>1414</v>
      </c>
      <c r="J18" s="206">
        <f>BK18</f>
        <v>0</v>
      </c>
      <c r="P18" s="67">
        <f>SUM(P19:P38)</f>
        <v>45.67</v>
      </c>
      <c r="R18" s="67">
        <f>SUM(R19:R38)</f>
        <v>0.19788999999999998</v>
      </c>
      <c r="T18" s="68">
        <f>SUM(T19:T38)</f>
        <v>0</v>
      </c>
      <c r="AR18" s="65" t="s">
        <v>63</v>
      </c>
      <c r="AT18" s="69" t="s">
        <v>877</v>
      </c>
      <c r="AU18" s="69" t="s">
        <v>51</v>
      </c>
      <c r="AY18" s="65" t="s">
        <v>881</v>
      </c>
      <c r="BK18" s="70">
        <f>SUM(BK19:BK38)</f>
        <v>0</v>
      </c>
    </row>
    <row r="19" spans="3:65" s="48" customFormat="1" ht="24.15" customHeight="1">
      <c r="C19" s="79" t="s">
        <v>51</v>
      </c>
      <c r="D19" s="79" t="s">
        <v>883</v>
      </c>
      <c r="E19" s="80" t="s">
        <v>1415</v>
      </c>
      <c r="F19" s="81" t="s">
        <v>1416</v>
      </c>
      <c r="G19" s="82" t="s">
        <v>74</v>
      </c>
      <c r="H19" s="83">
        <v>101</v>
      </c>
      <c r="I19" s="527"/>
      <c r="J19" s="84">
        <f>ROUND(I19*H19,2)</f>
        <v>0</v>
      </c>
      <c r="K19" s="521"/>
      <c r="L19" s="533" t="s">
        <v>2130</v>
      </c>
      <c r="M19" s="530" t="s">
        <v>854</v>
      </c>
      <c r="N19" s="72" t="s">
        <v>860</v>
      </c>
      <c r="O19" s="73">
        <v>0.131</v>
      </c>
      <c r="P19" s="73">
        <f>O19*H19</f>
        <v>13.231</v>
      </c>
      <c r="Q19" s="73">
        <v>0</v>
      </c>
      <c r="R19" s="73">
        <f>Q19*H19</f>
        <v>0</v>
      </c>
      <c r="S19" s="73">
        <v>0</v>
      </c>
      <c r="T19" s="74">
        <f>S19*H19</f>
        <v>0</v>
      </c>
      <c r="AR19" s="75" t="s">
        <v>92</v>
      </c>
      <c r="AT19" s="75" t="s">
        <v>883</v>
      </c>
      <c r="AU19" s="75" t="s">
        <v>63</v>
      </c>
      <c r="AY19" s="47" t="s">
        <v>881</v>
      </c>
      <c r="BE19" s="76">
        <f>IF(N19="základní",J19,0)</f>
        <v>0</v>
      </c>
      <c r="BF19" s="76">
        <f>IF(N19="snížená",J19,0)</f>
        <v>0</v>
      </c>
      <c r="BG19" s="76">
        <f>IF(N19="zákl. přenesená",J19,0)</f>
        <v>0</v>
      </c>
      <c r="BH19" s="76">
        <f>IF(N19="sníž. přenesená",J19,0)</f>
        <v>0</v>
      </c>
      <c r="BI19" s="76">
        <f>IF(N19="nulová",J19,0)</f>
        <v>0</v>
      </c>
      <c r="BJ19" s="47" t="s">
        <v>51</v>
      </c>
      <c r="BK19" s="76">
        <f>ROUND(I19*H19,2)</f>
        <v>0</v>
      </c>
      <c r="BL19" s="47" t="s">
        <v>92</v>
      </c>
      <c r="BM19" s="75" t="s">
        <v>1417</v>
      </c>
    </row>
    <row r="20" spans="4:51" s="95" customFormat="1" ht="10.2">
      <c r="D20" s="207" t="s">
        <v>1418</v>
      </c>
      <c r="E20" s="96" t="s">
        <v>854</v>
      </c>
      <c r="F20" s="208" t="s">
        <v>1419</v>
      </c>
      <c r="H20" s="209">
        <v>88</v>
      </c>
      <c r="T20" s="97"/>
      <c r="AT20" s="96" t="s">
        <v>1418</v>
      </c>
      <c r="AU20" s="96" t="s">
        <v>63</v>
      </c>
      <c r="AV20" s="95" t="s">
        <v>63</v>
      </c>
      <c r="AW20" s="95" t="s">
        <v>1420</v>
      </c>
      <c r="AX20" s="95" t="s">
        <v>880</v>
      </c>
      <c r="AY20" s="96" t="s">
        <v>881</v>
      </c>
    </row>
    <row r="21" spans="4:51" s="95" customFormat="1" ht="10.2">
      <c r="D21" s="207" t="s">
        <v>1418</v>
      </c>
      <c r="E21" s="96" t="s">
        <v>854</v>
      </c>
      <c r="F21" s="208" t="s">
        <v>1421</v>
      </c>
      <c r="H21" s="209">
        <v>12</v>
      </c>
      <c r="T21" s="97"/>
      <c r="AT21" s="96" t="s">
        <v>1418</v>
      </c>
      <c r="AU21" s="96" t="s">
        <v>63</v>
      </c>
      <c r="AV21" s="95" t="s">
        <v>63</v>
      </c>
      <c r="AW21" s="95" t="s">
        <v>1420</v>
      </c>
      <c r="AX21" s="95" t="s">
        <v>880</v>
      </c>
      <c r="AY21" s="96" t="s">
        <v>881</v>
      </c>
    </row>
    <row r="22" spans="4:51" s="95" customFormat="1" ht="10.2">
      <c r="D22" s="207" t="s">
        <v>1418</v>
      </c>
      <c r="E22" s="96" t="s">
        <v>854</v>
      </c>
      <c r="F22" s="208" t="s">
        <v>1422</v>
      </c>
      <c r="H22" s="209">
        <v>1</v>
      </c>
      <c r="T22" s="97"/>
      <c r="AT22" s="96" t="s">
        <v>1418</v>
      </c>
      <c r="AU22" s="96" t="s">
        <v>63</v>
      </c>
      <c r="AV22" s="95" t="s">
        <v>63</v>
      </c>
      <c r="AW22" s="95" t="s">
        <v>1420</v>
      </c>
      <c r="AX22" s="95" t="s">
        <v>880</v>
      </c>
      <c r="AY22" s="96" t="s">
        <v>881</v>
      </c>
    </row>
    <row r="23" spans="3:65" s="48" customFormat="1" ht="24.15" customHeight="1">
      <c r="C23" s="85" t="s">
        <v>63</v>
      </c>
      <c r="D23" s="85" t="s">
        <v>201</v>
      </c>
      <c r="E23" s="86" t="s">
        <v>1423</v>
      </c>
      <c r="F23" s="87" t="s">
        <v>1424</v>
      </c>
      <c r="G23" s="88" t="s">
        <v>74</v>
      </c>
      <c r="H23" s="89">
        <v>101</v>
      </c>
      <c r="I23" s="528"/>
      <c r="J23" s="90">
        <f>ROUND(I23*H23,2)</f>
        <v>0</v>
      </c>
      <c r="K23" s="522"/>
      <c r="L23" s="533" t="s">
        <v>2130</v>
      </c>
      <c r="M23" s="531" t="s">
        <v>854</v>
      </c>
      <c r="N23" s="78" t="s">
        <v>860</v>
      </c>
      <c r="O23" s="73">
        <v>0</v>
      </c>
      <c r="P23" s="73">
        <f>O23*H23</f>
        <v>0</v>
      </c>
      <c r="Q23" s="73">
        <v>0.00035</v>
      </c>
      <c r="R23" s="73">
        <f>Q23*H23</f>
        <v>0.03535</v>
      </c>
      <c r="S23" s="73">
        <v>0</v>
      </c>
      <c r="T23" s="74">
        <f>S23*H23</f>
        <v>0</v>
      </c>
      <c r="AR23" s="75" t="s">
        <v>221</v>
      </c>
      <c r="AT23" s="75" t="s">
        <v>201</v>
      </c>
      <c r="AU23" s="75" t="s">
        <v>63</v>
      </c>
      <c r="AY23" s="47" t="s">
        <v>881</v>
      </c>
      <c r="BE23" s="76">
        <f>IF(N23="základní",J23,0)</f>
        <v>0</v>
      </c>
      <c r="BF23" s="76">
        <f>IF(N23="snížená",J23,0)</f>
        <v>0</v>
      </c>
      <c r="BG23" s="76">
        <f>IF(N23="zákl. přenesená",J23,0)</f>
        <v>0</v>
      </c>
      <c r="BH23" s="76">
        <f>IF(N23="sníž. přenesená",J23,0)</f>
        <v>0</v>
      </c>
      <c r="BI23" s="76">
        <f>IF(N23="nulová",J23,0)</f>
        <v>0</v>
      </c>
      <c r="BJ23" s="47" t="s">
        <v>51</v>
      </c>
      <c r="BK23" s="76">
        <f>ROUND(I23*H23,2)</f>
        <v>0</v>
      </c>
      <c r="BL23" s="47" t="s">
        <v>92</v>
      </c>
      <c r="BM23" s="75" t="s">
        <v>1425</v>
      </c>
    </row>
    <row r="24" spans="3:65" s="48" customFormat="1" ht="24.15" customHeight="1">
      <c r="C24" s="79" t="s">
        <v>67</v>
      </c>
      <c r="D24" s="79" t="s">
        <v>883</v>
      </c>
      <c r="E24" s="80" t="s">
        <v>1426</v>
      </c>
      <c r="F24" s="81" t="s">
        <v>1427</v>
      </c>
      <c r="G24" s="82" t="s">
        <v>74</v>
      </c>
      <c r="H24" s="83">
        <v>110</v>
      </c>
      <c r="I24" s="527"/>
      <c r="J24" s="84">
        <f>ROUND(I24*H24,2)</f>
        <v>0</v>
      </c>
      <c r="K24" s="521"/>
      <c r="L24" s="533" t="s">
        <v>2474</v>
      </c>
      <c r="M24" s="530" t="s">
        <v>854</v>
      </c>
      <c r="N24" s="72" t="s">
        <v>860</v>
      </c>
      <c r="O24" s="73">
        <v>0.068</v>
      </c>
      <c r="P24" s="73">
        <f>O24*H24</f>
        <v>7.48</v>
      </c>
      <c r="Q24" s="73">
        <v>0</v>
      </c>
      <c r="R24" s="73">
        <f>Q24*H24</f>
        <v>0</v>
      </c>
      <c r="S24" s="73">
        <v>0</v>
      </c>
      <c r="T24" s="74">
        <f>S24*H24</f>
        <v>0</v>
      </c>
      <c r="AR24" s="75" t="s">
        <v>92</v>
      </c>
      <c r="AT24" s="75" t="s">
        <v>883</v>
      </c>
      <c r="AU24" s="75" t="s">
        <v>63</v>
      </c>
      <c r="AY24" s="47" t="s">
        <v>881</v>
      </c>
      <c r="BE24" s="76">
        <f>IF(N24="základní",J24,0)</f>
        <v>0</v>
      </c>
      <c r="BF24" s="76">
        <f>IF(N24="snížená",J24,0)</f>
        <v>0</v>
      </c>
      <c r="BG24" s="76">
        <f>IF(N24="zákl. přenesená",J24,0)</f>
        <v>0</v>
      </c>
      <c r="BH24" s="76">
        <f>IF(N24="sníž. přenesená",J24,0)</f>
        <v>0</v>
      </c>
      <c r="BI24" s="76">
        <f>IF(N24="nulová",J24,0)</f>
        <v>0</v>
      </c>
      <c r="BJ24" s="47" t="s">
        <v>51</v>
      </c>
      <c r="BK24" s="76">
        <f>ROUND(I24*H24,2)</f>
        <v>0</v>
      </c>
      <c r="BL24" s="47" t="s">
        <v>92</v>
      </c>
      <c r="BM24" s="75" t="s">
        <v>1428</v>
      </c>
    </row>
    <row r="25" spans="4:51" s="95" customFormat="1" ht="10.2">
      <c r="D25" s="207" t="s">
        <v>1418</v>
      </c>
      <c r="E25" s="96" t="s">
        <v>854</v>
      </c>
      <c r="F25" s="208" t="s">
        <v>1419</v>
      </c>
      <c r="H25" s="209">
        <v>88</v>
      </c>
      <c r="T25" s="97"/>
      <c r="AT25" s="96" t="s">
        <v>1418</v>
      </c>
      <c r="AU25" s="96" t="s">
        <v>63</v>
      </c>
      <c r="AV25" s="95" t="s">
        <v>63</v>
      </c>
      <c r="AW25" s="95" t="s">
        <v>1420</v>
      </c>
      <c r="AX25" s="95" t="s">
        <v>880</v>
      </c>
      <c r="AY25" s="96" t="s">
        <v>881</v>
      </c>
    </row>
    <row r="26" spans="4:51" s="95" customFormat="1" ht="10.2">
      <c r="D26" s="207" t="s">
        <v>1418</v>
      </c>
      <c r="E26" s="96" t="s">
        <v>854</v>
      </c>
      <c r="F26" s="208" t="s">
        <v>1429</v>
      </c>
      <c r="H26" s="209">
        <v>20</v>
      </c>
      <c r="T26" s="97"/>
      <c r="AT26" s="96" t="s">
        <v>1418</v>
      </c>
      <c r="AU26" s="96" t="s">
        <v>63</v>
      </c>
      <c r="AV26" s="95" t="s">
        <v>63</v>
      </c>
      <c r="AW26" s="95" t="s">
        <v>1420</v>
      </c>
      <c r="AX26" s="95" t="s">
        <v>880</v>
      </c>
      <c r="AY26" s="96" t="s">
        <v>881</v>
      </c>
    </row>
    <row r="27" spans="4:51" s="95" customFormat="1" ht="10.2">
      <c r="D27" s="207" t="s">
        <v>1418</v>
      </c>
      <c r="E27" s="96" t="s">
        <v>854</v>
      </c>
      <c r="F27" s="208" t="s">
        <v>1430</v>
      </c>
      <c r="H27" s="209">
        <v>2</v>
      </c>
      <c r="T27" s="97"/>
      <c r="AT27" s="96" t="s">
        <v>1418</v>
      </c>
      <c r="AU27" s="96" t="s">
        <v>63</v>
      </c>
      <c r="AV27" s="95" t="s">
        <v>63</v>
      </c>
      <c r="AW27" s="95" t="s">
        <v>1420</v>
      </c>
      <c r="AX27" s="95" t="s">
        <v>880</v>
      </c>
      <c r="AY27" s="96" t="s">
        <v>881</v>
      </c>
    </row>
    <row r="28" spans="3:65" s="48" customFormat="1" ht="16.5" customHeight="1">
      <c r="C28" s="85" t="s">
        <v>71</v>
      </c>
      <c r="D28" s="85" t="s">
        <v>201</v>
      </c>
      <c r="E28" s="86" t="s">
        <v>1431</v>
      </c>
      <c r="F28" s="87" t="s">
        <v>1432</v>
      </c>
      <c r="G28" s="88" t="s">
        <v>74</v>
      </c>
      <c r="H28" s="89">
        <v>110</v>
      </c>
      <c r="I28" s="528"/>
      <c r="J28" s="90">
        <f>ROUND(I28*H28,2)</f>
        <v>0</v>
      </c>
      <c r="K28" s="522"/>
      <c r="L28" s="533" t="s">
        <v>2474</v>
      </c>
      <c r="M28" s="531" t="s">
        <v>854</v>
      </c>
      <c r="N28" s="78" t="s">
        <v>860</v>
      </c>
      <c r="O28" s="73">
        <v>0</v>
      </c>
      <c r="P28" s="73">
        <f>O28*H28</f>
        <v>0</v>
      </c>
      <c r="Q28" s="73">
        <v>0.00091</v>
      </c>
      <c r="R28" s="73">
        <f>Q28*H28</f>
        <v>0.1001</v>
      </c>
      <c r="S28" s="73">
        <v>0</v>
      </c>
      <c r="T28" s="74">
        <f>S28*H28</f>
        <v>0</v>
      </c>
      <c r="AR28" s="75" t="s">
        <v>221</v>
      </c>
      <c r="AT28" s="75" t="s">
        <v>201</v>
      </c>
      <c r="AU28" s="75" t="s">
        <v>63</v>
      </c>
      <c r="AY28" s="47" t="s">
        <v>881</v>
      </c>
      <c r="BE28" s="76">
        <f>IF(N28="základní",J28,0)</f>
        <v>0</v>
      </c>
      <c r="BF28" s="76">
        <f>IF(N28="snížená",J28,0)</f>
        <v>0</v>
      </c>
      <c r="BG28" s="76">
        <f>IF(N28="zákl. přenesená",J28,0)</f>
        <v>0</v>
      </c>
      <c r="BH28" s="76">
        <f>IF(N28="sníž. přenesená",J28,0)</f>
        <v>0</v>
      </c>
      <c r="BI28" s="76">
        <f>IF(N28="nulová",J28,0)</f>
        <v>0</v>
      </c>
      <c r="BJ28" s="47" t="s">
        <v>51</v>
      </c>
      <c r="BK28" s="76">
        <f>ROUND(I28*H28,2)</f>
        <v>0</v>
      </c>
      <c r="BL28" s="47" t="s">
        <v>92</v>
      </c>
      <c r="BM28" s="75" t="s">
        <v>1433</v>
      </c>
    </row>
    <row r="29" spans="3:65" s="48" customFormat="1" ht="24.15" customHeight="1">
      <c r="C29" s="79" t="s">
        <v>78</v>
      </c>
      <c r="D29" s="79" t="s">
        <v>883</v>
      </c>
      <c r="E29" s="80" t="s">
        <v>1434</v>
      </c>
      <c r="F29" s="81" t="s">
        <v>1435</v>
      </c>
      <c r="G29" s="82" t="s">
        <v>260</v>
      </c>
      <c r="H29" s="83">
        <v>9</v>
      </c>
      <c r="I29" s="527"/>
      <c r="J29" s="84">
        <f>ROUND(I29*H29,2)</f>
        <v>0</v>
      </c>
      <c r="K29" s="521"/>
      <c r="L29" s="533" t="s">
        <v>2474</v>
      </c>
      <c r="M29" s="530" t="s">
        <v>854</v>
      </c>
      <c r="N29" s="72" t="s">
        <v>860</v>
      </c>
      <c r="O29" s="73">
        <v>0.382</v>
      </c>
      <c r="P29" s="73">
        <f>O29*H29</f>
        <v>3.438</v>
      </c>
      <c r="Q29" s="73">
        <v>0</v>
      </c>
      <c r="R29" s="73">
        <f>Q29*H29</f>
        <v>0</v>
      </c>
      <c r="S29" s="73">
        <v>0</v>
      </c>
      <c r="T29" s="74">
        <f>S29*H29</f>
        <v>0</v>
      </c>
      <c r="AR29" s="75" t="s">
        <v>92</v>
      </c>
      <c r="AT29" s="75" t="s">
        <v>883</v>
      </c>
      <c r="AU29" s="75" t="s">
        <v>63</v>
      </c>
      <c r="AY29" s="47" t="s">
        <v>881</v>
      </c>
      <c r="BE29" s="76">
        <f>IF(N29="základní",J29,0)</f>
        <v>0</v>
      </c>
      <c r="BF29" s="76">
        <f>IF(N29="snížená",J29,0)</f>
        <v>0</v>
      </c>
      <c r="BG29" s="76">
        <f>IF(N29="zákl. přenesená",J29,0)</f>
        <v>0</v>
      </c>
      <c r="BH29" s="76">
        <f>IF(N29="sníž. přenesená",J29,0)</f>
        <v>0</v>
      </c>
      <c r="BI29" s="76">
        <f>IF(N29="nulová",J29,0)</f>
        <v>0</v>
      </c>
      <c r="BJ29" s="47" t="s">
        <v>51</v>
      </c>
      <c r="BK29" s="76">
        <f>ROUND(I29*H29,2)</f>
        <v>0</v>
      </c>
      <c r="BL29" s="47" t="s">
        <v>92</v>
      </c>
      <c r="BM29" s="75" t="s">
        <v>1436</v>
      </c>
    </row>
    <row r="30" spans="3:65" s="48" customFormat="1" ht="24.15" customHeight="1">
      <c r="C30" s="79" t="s">
        <v>85</v>
      </c>
      <c r="D30" s="79" t="s">
        <v>883</v>
      </c>
      <c r="E30" s="80" t="s">
        <v>1437</v>
      </c>
      <c r="F30" s="81" t="s">
        <v>1438</v>
      </c>
      <c r="G30" s="82" t="s">
        <v>74</v>
      </c>
      <c r="H30" s="83">
        <v>97</v>
      </c>
      <c r="I30" s="527"/>
      <c r="J30" s="84">
        <f>ROUND(I30*H30,2)</f>
        <v>0</v>
      </c>
      <c r="K30" s="521"/>
      <c r="L30" s="533" t="s">
        <v>2474</v>
      </c>
      <c r="M30" s="530" t="s">
        <v>854</v>
      </c>
      <c r="N30" s="72" t="s">
        <v>860</v>
      </c>
      <c r="O30" s="73">
        <v>0.123</v>
      </c>
      <c r="P30" s="73">
        <f>O30*H30</f>
        <v>11.931</v>
      </c>
      <c r="Q30" s="73">
        <v>0</v>
      </c>
      <c r="R30" s="73">
        <f>Q30*H30</f>
        <v>0</v>
      </c>
      <c r="S30" s="73">
        <v>0</v>
      </c>
      <c r="T30" s="74">
        <f>S30*H30</f>
        <v>0</v>
      </c>
      <c r="AR30" s="75" t="s">
        <v>92</v>
      </c>
      <c r="AT30" s="75" t="s">
        <v>883</v>
      </c>
      <c r="AU30" s="75" t="s">
        <v>63</v>
      </c>
      <c r="AY30" s="47" t="s">
        <v>881</v>
      </c>
      <c r="BE30" s="76">
        <f>IF(N30="základní",J30,0)</f>
        <v>0</v>
      </c>
      <c r="BF30" s="76">
        <f>IF(N30="snížená",J30,0)</f>
        <v>0</v>
      </c>
      <c r="BG30" s="76">
        <f>IF(N30="zákl. přenesená",J30,0)</f>
        <v>0</v>
      </c>
      <c r="BH30" s="76">
        <f>IF(N30="sníž. přenesená",J30,0)</f>
        <v>0</v>
      </c>
      <c r="BI30" s="76">
        <f>IF(N30="nulová",J30,0)</f>
        <v>0</v>
      </c>
      <c r="BJ30" s="47" t="s">
        <v>51</v>
      </c>
      <c r="BK30" s="76">
        <f>ROUND(I30*H30,2)</f>
        <v>0</v>
      </c>
      <c r="BL30" s="47" t="s">
        <v>92</v>
      </c>
      <c r="BM30" s="75" t="s">
        <v>1439</v>
      </c>
    </row>
    <row r="31" spans="4:51" s="95" customFormat="1" ht="10.2">
      <c r="D31" s="207" t="s">
        <v>1418</v>
      </c>
      <c r="E31" s="96" t="s">
        <v>854</v>
      </c>
      <c r="F31" s="208" t="s">
        <v>1419</v>
      </c>
      <c r="H31" s="209">
        <v>88</v>
      </c>
      <c r="T31" s="97"/>
      <c r="AT31" s="96" t="s">
        <v>1418</v>
      </c>
      <c r="AU31" s="96" t="s">
        <v>63</v>
      </c>
      <c r="AV31" s="95" t="s">
        <v>63</v>
      </c>
      <c r="AW31" s="95" t="s">
        <v>1420</v>
      </c>
      <c r="AX31" s="95" t="s">
        <v>880</v>
      </c>
      <c r="AY31" s="96" t="s">
        <v>881</v>
      </c>
    </row>
    <row r="32" spans="4:51" s="95" customFormat="1" ht="10.2">
      <c r="D32" s="207" t="s">
        <v>1418</v>
      </c>
      <c r="E32" s="96" t="s">
        <v>854</v>
      </c>
      <c r="F32" s="208" t="s">
        <v>1440</v>
      </c>
      <c r="H32" s="209">
        <v>8</v>
      </c>
      <c r="T32" s="97"/>
      <c r="AT32" s="96" t="s">
        <v>1418</v>
      </c>
      <c r="AU32" s="96" t="s">
        <v>63</v>
      </c>
      <c r="AV32" s="95" t="s">
        <v>63</v>
      </c>
      <c r="AW32" s="95" t="s">
        <v>1420</v>
      </c>
      <c r="AX32" s="95" t="s">
        <v>880</v>
      </c>
      <c r="AY32" s="96" t="s">
        <v>881</v>
      </c>
    </row>
    <row r="33" spans="4:51" s="95" customFormat="1" ht="10.2">
      <c r="D33" s="207" t="s">
        <v>1418</v>
      </c>
      <c r="E33" s="96" t="s">
        <v>854</v>
      </c>
      <c r="F33" s="208" t="s">
        <v>1422</v>
      </c>
      <c r="H33" s="209">
        <v>1</v>
      </c>
      <c r="T33" s="97"/>
      <c r="AT33" s="96" t="s">
        <v>1418</v>
      </c>
      <c r="AU33" s="96" t="s">
        <v>63</v>
      </c>
      <c r="AV33" s="95" t="s">
        <v>63</v>
      </c>
      <c r="AW33" s="95" t="s">
        <v>1420</v>
      </c>
      <c r="AX33" s="95" t="s">
        <v>880</v>
      </c>
      <c r="AY33" s="96" t="s">
        <v>881</v>
      </c>
    </row>
    <row r="34" spans="3:65" s="48" customFormat="1" ht="16.5" customHeight="1">
      <c r="C34" s="85" t="s">
        <v>89</v>
      </c>
      <c r="D34" s="85" t="s">
        <v>201</v>
      </c>
      <c r="E34" s="86" t="s">
        <v>1441</v>
      </c>
      <c r="F34" s="87" t="s">
        <v>1442</v>
      </c>
      <c r="G34" s="88" t="s">
        <v>1443</v>
      </c>
      <c r="H34" s="89">
        <v>60.14</v>
      </c>
      <c r="I34" s="528"/>
      <c r="J34" s="90">
        <f>ROUND(I34*H34,2)</f>
        <v>0</v>
      </c>
      <c r="K34" s="522"/>
      <c r="L34" s="533" t="s">
        <v>2474</v>
      </c>
      <c r="M34" s="531" t="s">
        <v>854</v>
      </c>
      <c r="N34" s="78" t="s">
        <v>860</v>
      </c>
      <c r="O34" s="73">
        <v>0</v>
      </c>
      <c r="P34" s="73">
        <f>O34*H34</f>
        <v>0</v>
      </c>
      <c r="Q34" s="73">
        <v>0.001</v>
      </c>
      <c r="R34" s="73">
        <f>Q34*H34</f>
        <v>0.06014</v>
      </c>
      <c r="S34" s="73">
        <v>0</v>
      </c>
      <c r="T34" s="74">
        <f>S34*H34</f>
        <v>0</v>
      </c>
      <c r="AR34" s="75" t="s">
        <v>1444</v>
      </c>
      <c r="AT34" s="75" t="s">
        <v>201</v>
      </c>
      <c r="AU34" s="75" t="s">
        <v>63</v>
      </c>
      <c r="AY34" s="47" t="s">
        <v>881</v>
      </c>
      <c r="BE34" s="76">
        <f>IF(N34="základní",J34,0)</f>
        <v>0</v>
      </c>
      <c r="BF34" s="76">
        <f>IF(N34="snížená",J34,0)</f>
        <v>0</v>
      </c>
      <c r="BG34" s="76">
        <f>IF(N34="zákl. přenesená",J34,0)</f>
        <v>0</v>
      </c>
      <c r="BH34" s="76">
        <f>IF(N34="sníž. přenesená",J34,0)</f>
        <v>0</v>
      </c>
      <c r="BI34" s="76">
        <f>IF(N34="nulová",J34,0)</f>
        <v>0</v>
      </c>
      <c r="BJ34" s="47" t="s">
        <v>51</v>
      </c>
      <c r="BK34" s="76">
        <f>ROUND(I34*H34,2)</f>
        <v>0</v>
      </c>
      <c r="BL34" s="47" t="s">
        <v>363</v>
      </c>
      <c r="BM34" s="75" t="s">
        <v>1445</v>
      </c>
    </row>
    <row r="35" spans="4:51" s="95" customFormat="1" ht="10.2">
      <c r="D35" s="207" t="s">
        <v>1418</v>
      </c>
      <c r="E35" s="96" t="s">
        <v>854</v>
      </c>
      <c r="F35" s="208" t="s">
        <v>1446</v>
      </c>
      <c r="H35" s="209">
        <v>60.14</v>
      </c>
      <c r="T35" s="97"/>
      <c r="AT35" s="96" t="s">
        <v>1418</v>
      </c>
      <c r="AU35" s="96" t="s">
        <v>63</v>
      </c>
      <c r="AV35" s="95" t="s">
        <v>63</v>
      </c>
      <c r="AW35" s="95" t="s">
        <v>1420</v>
      </c>
      <c r="AX35" s="95" t="s">
        <v>51</v>
      </c>
      <c r="AY35" s="96" t="s">
        <v>881</v>
      </c>
    </row>
    <row r="36" spans="3:65" s="48" customFormat="1" ht="16.5" customHeight="1">
      <c r="C36" s="79" t="s">
        <v>94</v>
      </c>
      <c r="D36" s="79" t="s">
        <v>883</v>
      </c>
      <c r="E36" s="80" t="s">
        <v>1447</v>
      </c>
      <c r="F36" s="81" t="s">
        <v>1448</v>
      </c>
      <c r="G36" s="82" t="s">
        <v>260</v>
      </c>
      <c r="H36" s="83">
        <v>10</v>
      </c>
      <c r="I36" s="527"/>
      <c r="J36" s="84">
        <f>ROUND(I36*H36,2)</f>
        <v>0</v>
      </c>
      <c r="K36" s="521"/>
      <c r="L36" s="533" t="s">
        <v>2474</v>
      </c>
      <c r="M36" s="530" t="s">
        <v>854</v>
      </c>
      <c r="N36" s="72" t="s">
        <v>860</v>
      </c>
      <c r="O36" s="73">
        <v>0.252</v>
      </c>
      <c r="P36" s="73">
        <f>O36*H36</f>
        <v>2.52</v>
      </c>
      <c r="Q36" s="73">
        <v>0</v>
      </c>
      <c r="R36" s="73">
        <f>Q36*H36</f>
        <v>0</v>
      </c>
      <c r="S36" s="73">
        <v>0</v>
      </c>
      <c r="T36" s="74">
        <f>S36*H36</f>
        <v>0</v>
      </c>
      <c r="AR36" s="75" t="s">
        <v>92</v>
      </c>
      <c r="AT36" s="75" t="s">
        <v>883</v>
      </c>
      <c r="AU36" s="75" t="s">
        <v>63</v>
      </c>
      <c r="AY36" s="47" t="s">
        <v>881</v>
      </c>
      <c r="BE36" s="76">
        <f>IF(N36="základní",J36,0)</f>
        <v>0</v>
      </c>
      <c r="BF36" s="76">
        <f>IF(N36="snížená",J36,0)</f>
        <v>0</v>
      </c>
      <c r="BG36" s="76">
        <f>IF(N36="zákl. přenesená",J36,0)</f>
        <v>0</v>
      </c>
      <c r="BH36" s="76">
        <f>IF(N36="sníž. přenesená",J36,0)</f>
        <v>0</v>
      </c>
      <c r="BI36" s="76">
        <f>IF(N36="nulová",J36,0)</f>
        <v>0</v>
      </c>
      <c r="BJ36" s="47" t="s">
        <v>51</v>
      </c>
      <c r="BK36" s="76">
        <f>ROUND(I36*H36,2)</f>
        <v>0</v>
      </c>
      <c r="BL36" s="47" t="s">
        <v>92</v>
      </c>
      <c r="BM36" s="75" t="s">
        <v>1449</v>
      </c>
    </row>
    <row r="37" spans="3:65" s="48" customFormat="1" ht="16.5" customHeight="1">
      <c r="C37" s="85" t="s">
        <v>98</v>
      </c>
      <c r="D37" s="85" t="s">
        <v>201</v>
      </c>
      <c r="E37" s="86" t="s">
        <v>1450</v>
      </c>
      <c r="F37" s="87" t="s">
        <v>1451</v>
      </c>
      <c r="G37" s="88" t="s">
        <v>260</v>
      </c>
      <c r="H37" s="89">
        <v>10</v>
      </c>
      <c r="I37" s="528"/>
      <c r="J37" s="90">
        <f>ROUND(I37*H37,2)</f>
        <v>0</v>
      </c>
      <c r="K37" s="522"/>
      <c r="L37" s="533" t="s">
        <v>2474</v>
      </c>
      <c r="M37" s="531" t="s">
        <v>854</v>
      </c>
      <c r="N37" s="78" t="s">
        <v>860</v>
      </c>
      <c r="O37" s="73">
        <v>0</v>
      </c>
      <c r="P37" s="73">
        <f>O37*H37</f>
        <v>0</v>
      </c>
      <c r="Q37" s="73">
        <v>0.00023</v>
      </c>
      <c r="R37" s="73">
        <f>Q37*H37</f>
        <v>0.0023</v>
      </c>
      <c r="S37" s="73">
        <v>0</v>
      </c>
      <c r="T37" s="74">
        <f>S37*H37</f>
        <v>0</v>
      </c>
      <c r="AR37" s="75" t="s">
        <v>221</v>
      </c>
      <c r="AT37" s="75" t="s">
        <v>201</v>
      </c>
      <c r="AU37" s="75" t="s">
        <v>63</v>
      </c>
      <c r="AY37" s="47" t="s">
        <v>881</v>
      </c>
      <c r="BE37" s="76">
        <f>IF(N37="základní",J37,0)</f>
        <v>0</v>
      </c>
      <c r="BF37" s="76">
        <f>IF(N37="snížená",J37,0)</f>
        <v>0</v>
      </c>
      <c r="BG37" s="76">
        <f>IF(N37="zákl. přenesená",J37,0)</f>
        <v>0</v>
      </c>
      <c r="BH37" s="76">
        <f>IF(N37="sníž. přenesená",J37,0)</f>
        <v>0</v>
      </c>
      <c r="BI37" s="76">
        <f>IF(N37="nulová",J37,0)</f>
        <v>0</v>
      </c>
      <c r="BJ37" s="47" t="s">
        <v>51</v>
      </c>
      <c r="BK37" s="76">
        <f>ROUND(I37*H37,2)</f>
        <v>0</v>
      </c>
      <c r="BL37" s="47" t="s">
        <v>92</v>
      </c>
      <c r="BM37" s="75" t="s">
        <v>1452</v>
      </c>
    </row>
    <row r="38" spans="3:65" s="48" customFormat="1" ht="24.15" customHeight="1">
      <c r="C38" s="79" t="s">
        <v>104</v>
      </c>
      <c r="D38" s="79" t="s">
        <v>883</v>
      </c>
      <c r="E38" s="80" t="s">
        <v>1453</v>
      </c>
      <c r="F38" s="81" t="s">
        <v>1454</v>
      </c>
      <c r="G38" s="82" t="s">
        <v>74</v>
      </c>
      <c r="H38" s="83">
        <v>101</v>
      </c>
      <c r="I38" s="527"/>
      <c r="J38" s="84">
        <f>ROUND(I38*H38,2)</f>
        <v>0</v>
      </c>
      <c r="K38" s="521"/>
      <c r="L38" s="533" t="s">
        <v>2474</v>
      </c>
      <c r="M38" s="530" t="s">
        <v>854</v>
      </c>
      <c r="N38" s="72" t="s">
        <v>860</v>
      </c>
      <c r="O38" s="73">
        <v>0.07</v>
      </c>
      <c r="P38" s="73">
        <f>O38*H38</f>
        <v>7.07</v>
      </c>
      <c r="Q38" s="73">
        <v>0</v>
      </c>
      <c r="R38" s="73">
        <f>Q38*H38</f>
        <v>0</v>
      </c>
      <c r="S38" s="73">
        <v>0</v>
      </c>
      <c r="T38" s="74">
        <f>S38*H38</f>
        <v>0</v>
      </c>
      <c r="AR38" s="75" t="s">
        <v>363</v>
      </c>
      <c r="AT38" s="75" t="s">
        <v>883</v>
      </c>
      <c r="AU38" s="75" t="s">
        <v>63</v>
      </c>
      <c r="AY38" s="47" t="s">
        <v>881</v>
      </c>
      <c r="BE38" s="76">
        <f>IF(N38="základní",J38,0)</f>
        <v>0</v>
      </c>
      <c r="BF38" s="76">
        <f>IF(N38="snížená",J38,0)</f>
        <v>0</v>
      </c>
      <c r="BG38" s="76">
        <f>IF(N38="zákl. přenesená",J38,0)</f>
        <v>0</v>
      </c>
      <c r="BH38" s="76">
        <f>IF(N38="sníž. přenesená",J38,0)</f>
        <v>0</v>
      </c>
      <c r="BI38" s="76">
        <f>IF(N38="nulová",J38,0)</f>
        <v>0</v>
      </c>
      <c r="BJ38" s="47" t="s">
        <v>51</v>
      </c>
      <c r="BK38" s="76">
        <f>ROUND(I38*H38,2)</f>
        <v>0</v>
      </c>
      <c r="BL38" s="47" t="s">
        <v>363</v>
      </c>
      <c r="BM38" s="75" t="s">
        <v>1455</v>
      </c>
    </row>
    <row r="39" spans="4:63" s="64" customFormat="1" ht="22.95" customHeight="1">
      <c r="D39" s="65" t="s">
        <v>877</v>
      </c>
      <c r="E39" s="205" t="s">
        <v>1456</v>
      </c>
      <c r="F39" s="205" t="s">
        <v>1457</v>
      </c>
      <c r="J39" s="206">
        <f>BK39</f>
        <v>0</v>
      </c>
      <c r="P39" s="67">
        <f>SUM(P40:P54)</f>
        <v>53.891999999999996</v>
      </c>
      <c r="R39" s="67">
        <f>SUM(R40:R54)</f>
        <v>0.00441</v>
      </c>
      <c r="T39" s="68">
        <f>SUM(T40:T54)</f>
        <v>0</v>
      </c>
      <c r="AR39" s="65" t="s">
        <v>67</v>
      </c>
      <c r="AT39" s="69" t="s">
        <v>877</v>
      </c>
      <c r="AU39" s="69" t="s">
        <v>51</v>
      </c>
      <c r="AY39" s="65" t="s">
        <v>881</v>
      </c>
      <c r="BK39" s="70">
        <f>SUM(BK40:BK54)</f>
        <v>0</v>
      </c>
    </row>
    <row r="40" spans="3:65" s="48" customFormat="1" ht="24.15" customHeight="1">
      <c r="C40" s="79" t="s">
        <v>49</v>
      </c>
      <c r="D40" s="79" t="s">
        <v>883</v>
      </c>
      <c r="E40" s="80" t="s">
        <v>1458</v>
      </c>
      <c r="F40" s="81" t="s">
        <v>1459</v>
      </c>
      <c r="G40" s="82" t="s">
        <v>260</v>
      </c>
      <c r="H40" s="83">
        <v>3</v>
      </c>
      <c r="I40" s="527"/>
      <c r="J40" s="84">
        <f aca="true" t="shared" si="0" ref="J40:J51">ROUND(I40*H40,2)</f>
        <v>0</v>
      </c>
      <c r="K40" s="521"/>
      <c r="L40" s="533" t="s">
        <v>2474</v>
      </c>
      <c r="M40" s="530" t="s">
        <v>854</v>
      </c>
      <c r="N40" s="72" t="s">
        <v>860</v>
      </c>
      <c r="O40" s="73">
        <v>0.718</v>
      </c>
      <c r="P40" s="73">
        <f aca="true" t="shared" si="1" ref="P40:P51">O40*H40</f>
        <v>2.154</v>
      </c>
      <c r="Q40" s="73">
        <v>0</v>
      </c>
      <c r="R40" s="73">
        <f aca="true" t="shared" si="2" ref="R40:R51">Q40*H40</f>
        <v>0</v>
      </c>
      <c r="S40" s="73">
        <v>0</v>
      </c>
      <c r="T40" s="74">
        <f aca="true" t="shared" si="3" ref="T40:T51">S40*H40</f>
        <v>0</v>
      </c>
      <c r="AR40" s="75" t="s">
        <v>363</v>
      </c>
      <c r="AT40" s="75" t="s">
        <v>883</v>
      </c>
      <c r="AU40" s="75" t="s">
        <v>63</v>
      </c>
      <c r="AY40" s="47" t="s">
        <v>881</v>
      </c>
      <c r="BE40" s="76">
        <f aca="true" t="shared" si="4" ref="BE40:BE51">IF(N40="základní",J40,0)</f>
        <v>0</v>
      </c>
      <c r="BF40" s="76">
        <f aca="true" t="shared" si="5" ref="BF40:BF51">IF(N40="snížená",J40,0)</f>
        <v>0</v>
      </c>
      <c r="BG40" s="76">
        <f aca="true" t="shared" si="6" ref="BG40:BG51">IF(N40="zákl. přenesená",J40,0)</f>
        <v>0</v>
      </c>
      <c r="BH40" s="76">
        <f aca="true" t="shared" si="7" ref="BH40:BH51">IF(N40="sníž. přenesená",J40,0)</f>
        <v>0</v>
      </c>
      <c r="BI40" s="76">
        <f aca="true" t="shared" si="8" ref="BI40:BI51">IF(N40="nulová",J40,0)</f>
        <v>0</v>
      </c>
      <c r="BJ40" s="47" t="s">
        <v>51</v>
      </c>
      <c r="BK40" s="76">
        <f aca="true" t="shared" si="9" ref="BK40:BK51">ROUND(I40*H40,2)</f>
        <v>0</v>
      </c>
      <c r="BL40" s="47" t="s">
        <v>363</v>
      </c>
      <c r="BM40" s="75" t="s">
        <v>1460</v>
      </c>
    </row>
    <row r="41" spans="3:65" s="48" customFormat="1" ht="24.15" customHeight="1">
      <c r="C41" s="79" t="s">
        <v>76</v>
      </c>
      <c r="D41" s="79" t="s">
        <v>883</v>
      </c>
      <c r="E41" s="80" t="s">
        <v>1461</v>
      </c>
      <c r="F41" s="81" t="s">
        <v>1462</v>
      </c>
      <c r="G41" s="82" t="s">
        <v>260</v>
      </c>
      <c r="H41" s="83">
        <v>3</v>
      </c>
      <c r="I41" s="527"/>
      <c r="J41" s="84">
        <f t="shared" si="0"/>
        <v>0</v>
      </c>
      <c r="K41" s="521"/>
      <c r="L41" s="533" t="s">
        <v>2130</v>
      </c>
      <c r="M41" s="530" t="s">
        <v>854</v>
      </c>
      <c r="N41" s="72" t="s">
        <v>860</v>
      </c>
      <c r="O41" s="73">
        <v>0.718</v>
      </c>
      <c r="P41" s="73">
        <f t="shared" si="1"/>
        <v>2.154</v>
      </c>
      <c r="Q41" s="73">
        <v>0</v>
      </c>
      <c r="R41" s="73">
        <f t="shared" si="2"/>
        <v>0</v>
      </c>
      <c r="S41" s="73">
        <v>0</v>
      </c>
      <c r="T41" s="74">
        <f t="shared" si="3"/>
        <v>0</v>
      </c>
      <c r="AR41" s="75" t="s">
        <v>363</v>
      </c>
      <c r="AT41" s="75" t="s">
        <v>883</v>
      </c>
      <c r="AU41" s="75" t="s">
        <v>63</v>
      </c>
      <c r="AY41" s="47" t="s">
        <v>881</v>
      </c>
      <c r="BE41" s="76">
        <f t="shared" si="4"/>
        <v>0</v>
      </c>
      <c r="BF41" s="76">
        <f t="shared" si="5"/>
        <v>0</v>
      </c>
      <c r="BG41" s="76">
        <f t="shared" si="6"/>
        <v>0</v>
      </c>
      <c r="BH41" s="76">
        <f t="shared" si="7"/>
        <v>0</v>
      </c>
      <c r="BI41" s="76">
        <f t="shared" si="8"/>
        <v>0</v>
      </c>
      <c r="BJ41" s="47" t="s">
        <v>51</v>
      </c>
      <c r="BK41" s="76">
        <f t="shared" si="9"/>
        <v>0</v>
      </c>
      <c r="BL41" s="47" t="s">
        <v>363</v>
      </c>
      <c r="BM41" s="75" t="s">
        <v>1463</v>
      </c>
    </row>
    <row r="42" spans="3:65" s="48" customFormat="1" ht="24.15" customHeight="1">
      <c r="C42" s="79" t="s">
        <v>75</v>
      </c>
      <c r="D42" s="79" t="s">
        <v>883</v>
      </c>
      <c r="E42" s="80" t="s">
        <v>1464</v>
      </c>
      <c r="F42" s="81" t="s">
        <v>1465</v>
      </c>
      <c r="G42" s="82" t="s">
        <v>260</v>
      </c>
      <c r="H42" s="83">
        <v>3</v>
      </c>
      <c r="I42" s="527"/>
      <c r="J42" s="84">
        <f t="shared" si="0"/>
        <v>0</v>
      </c>
      <c r="K42" s="521"/>
      <c r="L42" s="533" t="s">
        <v>2474</v>
      </c>
      <c r="M42" s="530" t="s">
        <v>854</v>
      </c>
      <c r="N42" s="72" t="s">
        <v>860</v>
      </c>
      <c r="O42" s="73">
        <v>3.813</v>
      </c>
      <c r="P42" s="73">
        <f t="shared" si="1"/>
        <v>11.439</v>
      </c>
      <c r="Q42" s="73">
        <v>0</v>
      </c>
      <c r="R42" s="73">
        <f t="shared" si="2"/>
        <v>0</v>
      </c>
      <c r="S42" s="73">
        <v>0</v>
      </c>
      <c r="T42" s="74">
        <f t="shared" si="3"/>
        <v>0</v>
      </c>
      <c r="AR42" s="75" t="s">
        <v>363</v>
      </c>
      <c r="AT42" s="75" t="s">
        <v>883</v>
      </c>
      <c r="AU42" s="75" t="s">
        <v>63</v>
      </c>
      <c r="AY42" s="47" t="s">
        <v>881</v>
      </c>
      <c r="BE42" s="76">
        <f t="shared" si="4"/>
        <v>0</v>
      </c>
      <c r="BF42" s="76">
        <f t="shared" si="5"/>
        <v>0</v>
      </c>
      <c r="BG42" s="76">
        <f t="shared" si="6"/>
        <v>0</v>
      </c>
      <c r="BH42" s="76">
        <f t="shared" si="7"/>
        <v>0</v>
      </c>
      <c r="BI42" s="76">
        <f t="shared" si="8"/>
        <v>0</v>
      </c>
      <c r="BJ42" s="47" t="s">
        <v>51</v>
      </c>
      <c r="BK42" s="76">
        <f t="shared" si="9"/>
        <v>0</v>
      </c>
      <c r="BL42" s="47" t="s">
        <v>363</v>
      </c>
      <c r="BM42" s="75" t="s">
        <v>1466</v>
      </c>
    </row>
    <row r="43" spans="3:65" s="48" customFormat="1" ht="24.15" customHeight="1">
      <c r="C43" s="85" t="s">
        <v>128</v>
      </c>
      <c r="D43" s="85" t="s">
        <v>201</v>
      </c>
      <c r="E43" s="86" t="s">
        <v>1467</v>
      </c>
      <c r="F43" s="87" t="s">
        <v>1468</v>
      </c>
      <c r="G43" s="88" t="s">
        <v>1469</v>
      </c>
      <c r="H43" s="89">
        <v>3</v>
      </c>
      <c r="I43" s="528"/>
      <c r="J43" s="90">
        <f t="shared" si="0"/>
        <v>0</v>
      </c>
      <c r="K43" s="522"/>
      <c r="L43" s="533" t="s">
        <v>2130</v>
      </c>
      <c r="M43" s="531" t="s">
        <v>854</v>
      </c>
      <c r="N43" s="78" t="s">
        <v>860</v>
      </c>
      <c r="O43" s="73">
        <v>0</v>
      </c>
      <c r="P43" s="73">
        <f t="shared" si="1"/>
        <v>0</v>
      </c>
      <c r="Q43" s="73">
        <v>0</v>
      </c>
      <c r="R43" s="73">
        <f t="shared" si="2"/>
        <v>0</v>
      </c>
      <c r="S43" s="73">
        <v>0</v>
      </c>
      <c r="T43" s="74">
        <f t="shared" si="3"/>
        <v>0</v>
      </c>
      <c r="AR43" s="75" t="s">
        <v>1470</v>
      </c>
      <c r="AT43" s="75" t="s">
        <v>201</v>
      </c>
      <c r="AU43" s="75" t="s">
        <v>63</v>
      </c>
      <c r="AY43" s="47" t="s">
        <v>881</v>
      </c>
      <c r="BE43" s="76">
        <f t="shared" si="4"/>
        <v>0</v>
      </c>
      <c r="BF43" s="76">
        <f t="shared" si="5"/>
        <v>0</v>
      </c>
      <c r="BG43" s="76">
        <f t="shared" si="6"/>
        <v>0</v>
      </c>
      <c r="BH43" s="76">
        <f t="shared" si="7"/>
        <v>0</v>
      </c>
      <c r="BI43" s="76">
        <f t="shared" si="8"/>
        <v>0</v>
      </c>
      <c r="BJ43" s="47" t="s">
        <v>51</v>
      </c>
      <c r="BK43" s="76">
        <f t="shared" si="9"/>
        <v>0</v>
      </c>
      <c r="BL43" s="47" t="s">
        <v>1470</v>
      </c>
      <c r="BM43" s="75" t="s">
        <v>1471</v>
      </c>
    </row>
    <row r="44" spans="3:65" s="48" customFormat="1" ht="24.15" customHeight="1">
      <c r="C44" s="79" t="s">
        <v>66</v>
      </c>
      <c r="D44" s="79" t="s">
        <v>883</v>
      </c>
      <c r="E44" s="80" t="s">
        <v>1472</v>
      </c>
      <c r="F44" s="81" t="s">
        <v>1473</v>
      </c>
      <c r="G44" s="82" t="s">
        <v>260</v>
      </c>
      <c r="H44" s="83">
        <v>3</v>
      </c>
      <c r="I44" s="527"/>
      <c r="J44" s="84">
        <f t="shared" si="0"/>
        <v>0</v>
      </c>
      <c r="K44" s="521"/>
      <c r="L44" s="533" t="s">
        <v>2130</v>
      </c>
      <c r="M44" s="530" t="s">
        <v>854</v>
      </c>
      <c r="N44" s="72" t="s">
        <v>860</v>
      </c>
      <c r="O44" s="73">
        <v>3.813</v>
      </c>
      <c r="P44" s="73">
        <f t="shared" si="1"/>
        <v>11.439</v>
      </c>
      <c r="Q44" s="73">
        <v>0</v>
      </c>
      <c r="R44" s="73">
        <f t="shared" si="2"/>
        <v>0</v>
      </c>
      <c r="S44" s="73">
        <v>0</v>
      </c>
      <c r="T44" s="74">
        <f t="shared" si="3"/>
        <v>0</v>
      </c>
      <c r="AR44" s="75" t="s">
        <v>363</v>
      </c>
      <c r="AT44" s="75" t="s">
        <v>883</v>
      </c>
      <c r="AU44" s="75" t="s">
        <v>63</v>
      </c>
      <c r="AY44" s="47" t="s">
        <v>881</v>
      </c>
      <c r="BE44" s="76">
        <f t="shared" si="4"/>
        <v>0</v>
      </c>
      <c r="BF44" s="76">
        <f t="shared" si="5"/>
        <v>0</v>
      </c>
      <c r="BG44" s="76">
        <f t="shared" si="6"/>
        <v>0</v>
      </c>
      <c r="BH44" s="76">
        <f t="shared" si="7"/>
        <v>0</v>
      </c>
      <c r="BI44" s="76">
        <f t="shared" si="8"/>
        <v>0</v>
      </c>
      <c r="BJ44" s="47" t="s">
        <v>51</v>
      </c>
      <c r="BK44" s="76">
        <f t="shared" si="9"/>
        <v>0</v>
      </c>
      <c r="BL44" s="47" t="s">
        <v>363</v>
      </c>
      <c r="BM44" s="75" t="s">
        <v>1474</v>
      </c>
    </row>
    <row r="45" spans="3:65" s="48" customFormat="1" ht="24.15" customHeight="1">
      <c r="C45" s="79" t="s">
        <v>92</v>
      </c>
      <c r="D45" s="79" t="s">
        <v>883</v>
      </c>
      <c r="E45" s="80" t="s">
        <v>1475</v>
      </c>
      <c r="F45" s="81" t="s">
        <v>1476</v>
      </c>
      <c r="G45" s="82" t="s">
        <v>260</v>
      </c>
      <c r="H45" s="83">
        <v>3</v>
      </c>
      <c r="I45" s="527"/>
      <c r="J45" s="84">
        <f t="shared" si="0"/>
        <v>0</v>
      </c>
      <c r="K45" s="521"/>
      <c r="L45" s="533" t="s">
        <v>2474</v>
      </c>
      <c r="M45" s="530" t="s">
        <v>854</v>
      </c>
      <c r="N45" s="72" t="s">
        <v>860</v>
      </c>
      <c r="O45" s="73">
        <v>2.3</v>
      </c>
      <c r="P45" s="73">
        <f t="shared" si="1"/>
        <v>6.8999999999999995</v>
      </c>
      <c r="Q45" s="73">
        <v>0</v>
      </c>
      <c r="R45" s="73">
        <f t="shared" si="2"/>
        <v>0</v>
      </c>
      <c r="S45" s="73">
        <v>0</v>
      </c>
      <c r="T45" s="74">
        <f t="shared" si="3"/>
        <v>0</v>
      </c>
      <c r="AR45" s="75" t="s">
        <v>363</v>
      </c>
      <c r="AT45" s="75" t="s">
        <v>883</v>
      </c>
      <c r="AU45" s="75" t="s">
        <v>63</v>
      </c>
      <c r="AY45" s="47" t="s">
        <v>881</v>
      </c>
      <c r="BE45" s="76">
        <f t="shared" si="4"/>
        <v>0</v>
      </c>
      <c r="BF45" s="76">
        <f t="shared" si="5"/>
        <v>0</v>
      </c>
      <c r="BG45" s="76">
        <f t="shared" si="6"/>
        <v>0</v>
      </c>
      <c r="BH45" s="76">
        <f t="shared" si="7"/>
        <v>0</v>
      </c>
      <c r="BI45" s="76">
        <f t="shared" si="8"/>
        <v>0</v>
      </c>
      <c r="BJ45" s="47" t="s">
        <v>51</v>
      </c>
      <c r="BK45" s="76">
        <f t="shared" si="9"/>
        <v>0</v>
      </c>
      <c r="BL45" s="47" t="s">
        <v>363</v>
      </c>
      <c r="BM45" s="75" t="s">
        <v>1477</v>
      </c>
    </row>
    <row r="46" spans="3:65" s="48" customFormat="1" ht="24.15" customHeight="1">
      <c r="C46" s="85" t="s">
        <v>102</v>
      </c>
      <c r="D46" s="85" t="s">
        <v>201</v>
      </c>
      <c r="E46" s="86" t="s">
        <v>1478</v>
      </c>
      <c r="F46" s="87" t="s">
        <v>1479</v>
      </c>
      <c r="G46" s="88" t="s">
        <v>1469</v>
      </c>
      <c r="H46" s="89">
        <v>3</v>
      </c>
      <c r="I46" s="528"/>
      <c r="J46" s="90">
        <f t="shared" si="0"/>
        <v>0</v>
      </c>
      <c r="K46" s="522"/>
      <c r="L46" s="533" t="s">
        <v>2130</v>
      </c>
      <c r="M46" s="531" t="s">
        <v>854</v>
      </c>
      <c r="N46" s="78" t="s">
        <v>860</v>
      </c>
      <c r="O46" s="73">
        <v>0</v>
      </c>
      <c r="P46" s="73">
        <f t="shared" si="1"/>
        <v>0</v>
      </c>
      <c r="Q46" s="73">
        <v>0</v>
      </c>
      <c r="R46" s="73">
        <f t="shared" si="2"/>
        <v>0</v>
      </c>
      <c r="S46" s="73">
        <v>0</v>
      </c>
      <c r="T46" s="74">
        <f t="shared" si="3"/>
        <v>0</v>
      </c>
      <c r="AR46" s="75" t="s">
        <v>1444</v>
      </c>
      <c r="AT46" s="75" t="s">
        <v>201</v>
      </c>
      <c r="AU46" s="75" t="s">
        <v>63</v>
      </c>
      <c r="AY46" s="47" t="s">
        <v>881</v>
      </c>
      <c r="BE46" s="76">
        <f t="shared" si="4"/>
        <v>0</v>
      </c>
      <c r="BF46" s="76">
        <f t="shared" si="5"/>
        <v>0</v>
      </c>
      <c r="BG46" s="76">
        <f t="shared" si="6"/>
        <v>0</v>
      </c>
      <c r="BH46" s="76">
        <f t="shared" si="7"/>
        <v>0</v>
      </c>
      <c r="BI46" s="76">
        <f t="shared" si="8"/>
        <v>0</v>
      </c>
      <c r="BJ46" s="47" t="s">
        <v>51</v>
      </c>
      <c r="BK46" s="76">
        <f t="shared" si="9"/>
        <v>0</v>
      </c>
      <c r="BL46" s="47" t="s">
        <v>363</v>
      </c>
      <c r="BM46" s="75" t="s">
        <v>1480</v>
      </c>
    </row>
    <row r="47" spans="3:65" s="48" customFormat="1" ht="24.15" customHeight="1">
      <c r="C47" s="79" t="s">
        <v>114</v>
      </c>
      <c r="D47" s="79" t="s">
        <v>883</v>
      </c>
      <c r="E47" s="80" t="s">
        <v>1481</v>
      </c>
      <c r="F47" s="81" t="s">
        <v>1482</v>
      </c>
      <c r="G47" s="82" t="s">
        <v>260</v>
      </c>
      <c r="H47" s="83">
        <v>3</v>
      </c>
      <c r="I47" s="527"/>
      <c r="J47" s="84">
        <f t="shared" si="0"/>
        <v>0</v>
      </c>
      <c r="K47" s="521"/>
      <c r="L47" s="533" t="s">
        <v>2130</v>
      </c>
      <c r="M47" s="530" t="s">
        <v>854</v>
      </c>
      <c r="N47" s="72" t="s">
        <v>860</v>
      </c>
      <c r="O47" s="73">
        <v>2.3</v>
      </c>
      <c r="P47" s="73">
        <f t="shared" si="1"/>
        <v>6.8999999999999995</v>
      </c>
      <c r="Q47" s="73">
        <v>0</v>
      </c>
      <c r="R47" s="73">
        <f t="shared" si="2"/>
        <v>0</v>
      </c>
      <c r="S47" s="73">
        <v>0</v>
      </c>
      <c r="T47" s="74">
        <f t="shared" si="3"/>
        <v>0</v>
      </c>
      <c r="AR47" s="75" t="s">
        <v>363</v>
      </c>
      <c r="AT47" s="75" t="s">
        <v>883</v>
      </c>
      <c r="AU47" s="75" t="s">
        <v>63</v>
      </c>
      <c r="AY47" s="47" t="s">
        <v>881</v>
      </c>
      <c r="BE47" s="76">
        <f t="shared" si="4"/>
        <v>0</v>
      </c>
      <c r="BF47" s="76">
        <f t="shared" si="5"/>
        <v>0</v>
      </c>
      <c r="BG47" s="76">
        <f t="shared" si="6"/>
        <v>0</v>
      </c>
      <c r="BH47" s="76">
        <f t="shared" si="7"/>
        <v>0</v>
      </c>
      <c r="BI47" s="76">
        <f t="shared" si="8"/>
        <v>0</v>
      </c>
      <c r="BJ47" s="47" t="s">
        <v>51</v>
      </c>
      <c r="BK47" s="76">
        <f t="shared" si="9"/>
        <v>0</v>
      </c>
      <c r="BL47" s="47" t="s">
        <v>363</v>
      </c>
      <c r="BM47" s="75" t="s">
        <v>1483</v>
      </c>
    </row>
    <row r="48" spans="3:65" s="48" customFormat="1" ht="16.5" customHeight="1">
      <c r="C48" s="79" t="s">
        <v>121</v>
      </c>
      <c r="D48" s="79" t="s">
        <v>883</v>
      </c>
      <c r="E48" s="80" t="s">
        <v>1484</v>
      </c>
      <c r="F48" s="81" t="s">
        <v>1485</v>
      </c>
      <c r="G48" s="82" t="s">
        <v>260</v>
      </c>
      <c r="H48" s="83">
        <v>3</v>
      </c>
      <c r="I48" s="527"/>
      <c r="J48" s="84">
        <f t="shared" si="0"/>
        <v>0</v>
      </c>
      <c r="K48" s="521"/>
      <c r="L48" s="533" t="s">
        <v>2474</v>
      </c>
      <c r="M48" s="530" t="s">
        <v>854</v>
      </c>
      <c r="N48" s="72" t="s">
        <v>860</v>
      </c>
      <c r="O48" s="73">
        <v>1.367</v>
      </c>
      <c r="P48" s="73">
        <f t="shared" si="1"/>
        <v>4.101</v>
      </c>
      <c r="Q48" s="73">
        <v>0</v>
      </c>
      <c r="R48" s="73">
        <f t="shared" si="2"/>
        <v>0</v>
      </c>
      <c r="S48" s="73">
        <v>0</v>
      </c>
      <c r="T48" s="74">
        <f t="shared" si="3"/>
        <v>0</v>
      </c>
      <c r="AR48" s="75" t="s">
        <v>363</v>
      </c>
      <c r="AT48" s="75" t="s">
        <v>883</v>
      </c>
      <c r="AU48" s="75" t="s">
        <v>63</v>
      </c>
      <c r="AY48" s="47" t="s">
        <v>881</v>
      </c>
      <c r="BE48" s="76">
        <f t="shared" si="4"/>
        <v>0</v>
      </c>
      <c r="BF48" s="76">
        <f t="shared" si="5"/>
        <v>0</v>
      </c>
      <c r="BG48" s="76">
        <f t="shared" si="6"/>
        <v>0</v>
      </c>
      <c r="BH48" s="76">
        <f t="shared" si="7"/>
        <v>0</v>
      </c>
      <c r="BI48" s="76">
        <f t="shared" si="8"/>
        <v>0</v>
      </c>
      <c r="BJ48" s="47" t="s">
        <v>51</v>
      </c>
      <c r="BK48" s="76">
        <f t="shared" si="9"/>
        <v>0</v>
      </c>
      <c r="BL48" s="47" t="s">
        <v>363</v>
      </c>
      <c r="BM48" s="75" t="s">
        <v>1486</v>
      </c>
    </row>
    <row r="49" spans="3:65" s="48" customFormat="1" ht="24.15" customHeight="1">
      <c r="C49" s="85" t="s">
        <v>157</v>
      </c>
      <c r="D49" s="85" t="s">
        <v>201</v>
      </c>
      <c r="E49" s="86" t="s">
        <v>1487</v>
      </c>
      <c r="F49" s="87" t="s">
        <v>1488</v>
      </c>
      <c r="G49" s="88" t="s">
        <v>1469</v>
      </c>
      <c r="H49" s="89">
        <v>3</v>
      </c>
      <c r="I49" s="528"/>
      <c r="J49" s="90">
        <f t="shared" si="0"/>
        <v>0</v>
      </c>
      <c r="K49" s="522"/>
      <c r="L49" s="533" t="s">
        <v>2130</v>
      </c>
      <c r="M49" s="531" t="s">
        <v>854</v>
      </c>
      <c r="N49" s="78" t="s">
        <v>860</v>
      </c>
      <c r="O49" s="73">
        <v>0</v>
      </c>
      <c r="P49" s="73">
        <f t="shared" si="1"/>
        <v>0</v>
      </c>
      <c r="Q49" s="73">
        <v>0</v>
      </c>
      <c r="R49" s="73">
        <f t="shared" si="2"/>
        <v>0</v>
      </c>
      <c r="S49" s="73">
        <v>0</v>
      </c>
      <c r="T49" s="74">
        <f t="shared" si="3"/>
        <v>0</v>
      </c>
      <c r="AR49" s="75" t="s">
        <v>1444</v>
      </c>
      <c r="AT49" s="75" t="s">
        <v>201</v>
      </c>
      <c r="AU49" s="75" t="s">
        <v>63</v>
      </c>
      <c r="AY49" s="47" t="s">
        <v>881</v>
      </c>
      <c r="BE49" s="76">
        <f t="shared" si="4"/>
        <v>0</v>
      </c>
      <c r="BF49" s="76">
        <f t="shared" si="5"/>
        <v>0</v>
      </c>
      <c r="BG49" s="76">
        <f t="shared" si="6"/>
        <v>0</v>
      </c>
      <c r="BH49" s="76">
        <f t="shared" si="7"/>
        <v>0</v>
      </c>
      <c r="BI49" s="76">
        <f t="shared" si="8"/>
        <v>0</v>
      </c>
      <c r="BJ49" s="47" t="s">
        <v>51</v>
      </c>
      <c r="BK49" s="76">
        <f t="shared" si="9"/>
        <v>0</v>
      </c>
      <c r="BL49" s="47" t="s">
        <v>363</v>
      </c>
      <c r="BM49" s="75" t="s">
        <v>1489</v>
      </c>
    </row>
    <row r="50" spans="3:65" s="48" customFormat="1" ht="16.5" customHeight="1">
      <c r="C50" s="85" t="s">
        <v>161</v>
      </c>
      <c r="D50" s="85" t="s">
        <v>201</v>
      </c>
      <c r="E50" s="86" t="s">
        <v>1490</v>
      </c>
      <c r="F50" s="87" t="s">
        <v>1491</v>
      </c>
      <c r="G50" s="88" t="s">
        <v>260</v>
      </c>
      <c r="H50" s="89">
        <v>3</v>
      </c>
      <c r="I50" s="528"/>
      <c r="J50" s="90">
        <f t="shared" si="0"/>
        <v>0</v>
      </c>
      <c r="K50" s="522"/>
      <c r="L50" s="533" t="s">
        <v>2474</v>
      </c>
      <c r="M50" s="531" t="s">
        <v>854</v>
      </c>
      <c r="N50" s="78" t="s">
        <v>860</v>
      </c>
      <c r="O50" s="73">
        <v>0</v>
      </c>
      <c r="P50" s="73">
        <f t="shared" si="1"/>
        <v>0</v>
      </c>
      <c r="Q50" s="73">
        <v>3E-05</v>
      </c>
      <c r="R50" s="73">
        <f t="shared" si="2"/>
        <v>9E-05</v>
      </c>
      <c r="S50" s="73">
        <v>0</v>
      </c>
      <c r="T50" s="74">
        <f t="shared" si="3"/>
        <v>0</v>
      </c>
      <c r="AR50" s="75" t="s">
        <v>1444</v>
      </c>
      <c r="AT50" s="75" t="s">
        <v>201</v>
      </c>
      <c r="AU50" s="75" t="s">
        <v>63</v>
      </c>
      <c r="AY50" s="47" t="s">
        <v>881</v>
      </c>
      <c r="BE50" s="76">
        <f t="shared" si="4"/>
        <v>0</v>
      </c>
      <c r="BF50" s="76">
        <f t="shared" si="5"/>
        <v>0</v>
      </c>
      <c r="BG50" s="76">
        <f t="shared" si="6"/>
        <v>0</v>
      </c>
      <c r="BH50" s="76">
        <f t="shared" si="7"/>
        <v>0</v>
      </c>
      <c r="BI50" s="76">
        <f t="shared" si="8"/>
        <v>0</v>
      </c>
      <c r="BJ50" s="47" t="s">
        <v>51</v>
      </c>
      <c r="BK50" s="76">
        <f t="shared" si="9"/>
        <v>0</v>
      </c>
      <c r="BL50" s="47" t="s">
        <v>363</v>
      </c>
      <c r="BM50" s="75" t="s">
        <v>1492</v>
      </c>
    </row>
    <row r="51" spans="3:65" s="48" customFormat="1" ht="16.5" customHeight="1">
      <c r="C51" s="85" t="s">
        <v>165</v>
      </c>
      <c r="D51" s="85" t="s">
        <v>201</v>
      </c>
      <c r="E51" s="86" t="s">
        <v>1493</v>
      </c>
      <c r="F51" s="87" t="s">
        <v>1494</v>
      </c>
      <c r="G51" s="88" t="s">
        <v>74</v>
      </c>
      <c r="H51" s="89">
        <v>36</v>
      </c>
      <c r="I51" s="528"/>
      <c r="J51" s="90">
        <f t="shared" si="0"/>
        <v>0</v>
      </c>
      <c r="K51" s="522"/>
      <c r="L51" s="533" t="s">
        <v>2474</v>
      </c>
      <c r="M51" s="531" t="s">
        <v>854</v>
      </c>
      <c r="N51" s="78" t="s">
        <v>860</v>
      </c>
      <c r="O51" s="73">
        <v>0</v>
      </c>
      <c r="P51" s="73">
        <f t="shared" si="1"/>
        <v>0</v>
      </c>
      <c r="Q51" s="73">
        <v>0.00012</v>
      </c>
      <c r="R51" s="73">
        <f t="shared" si="2"/>
        <v>0.00432</v>
      </c>
      <c r="S51" s="73">
        <v>0</v>
      </c>
      <c r="T51" s="74">
        <f t="shared" si="3"/>
        <v>0</v>
      </c>
      <c r="AR51" s="75" t="s">
        <v>1444</v>
      </c>
      <c r="AT51" s="75" t="s">
        <v>201</v>
      </c>
      <c r="AU51" s="75" t="s">
        <v>63</v>
      </c>
      <c r="AY51" s="47" t="s">
        <v>881</v>
      </c>
      <c r="BE51" s="76">
        <f t="shared" si="4"/>
        <v>0</v>
      </c>
      <c r="BF51" s="76">
        <f t="shared" si="5"/>
        <v>0</v>
      </c>
      <c r="BG51" s="76">
        <f t="shared" si="6"/>
        <v>0</v>
      </c>
      <c r="BH51" s="76">
        <f t="shared" si="7"/>
        <v>0</v>
      </c>
      <c r="BI51" s="76">
        <f t="shared" si="8"/>
        <v>0</v>
      </c>
      <c r="BJ51" s="47" t="s">
        <v>51</v>
      </c>
      <c r="BK51" s="76">
        <f t="shared" si="9"/>
        <v>0</v>
      </c>
      <c r="BL51" s="47" t="s">
        <v>363</v>
      </c>
      <c r="BM51" s="75" t="s">
        <v>1495</v>
      </c>
    </row>
    <row r="52" spans="4:51" s="95" customFormat="1" ht="10.2">
      <c r="D52" s="207" t="s">
        <v>1418</v>
      </c>
      <c r="E52" s="96" t="s">
        <v>854</v>
      </c>
      <c r="F52" s="208" t="s">
        <v>1496</v>
      </c>
      <c r="H52" s="209">
        <v>36</v>
      </c>
      <c r="T52" s="97"/>
      <c r="AT52" s="96" t="s">
        <v>1418</v>
      </c>
      <c r="AU52" s="96" t="s">
        <v>63</v>
      </c>
      <c r="AV52" s="95" t="s">
        <v>63</v>
      </c>
      <c r="AW52" s="95" t="s">
        <v>1420</v>
      </c>
      <c r="AX52" s="95" t="s">
        <v>51</v>
      </c>
      <c r="AY52" s="96" t="s">
        <v>881</v>
      </c>
    </row>
    <row r="53" spans="3:65" s="48" customFormat="1" ht="21.75" customHeight="1">
      <c r="C53" s="79" t="s">
        <v>70</v>
      </c>
      <c r="D53" s="79" t="s">
        <v>883</v>
      </c>
      <c r="E53" s="80" t="s">
        <v>1497</v>
      </c>
      <c r="F53" s="81" t="s">
        <v>1498</v>
      </c>
      <c r="G53" s="82" t="s">
        <v>1499</v>
      </c>
      <c r="H53" s="83">
        <v>1</v>
      </c>
      <c r="I53" s="527"/>
      <c r="J53" s="84">
        <f>ROUND(I53*H53,2)</f>
        <v>0</v>
      </c>
      <c r="K53" s="521"/>
      <c r="L53" s="533" t="s">
        <v>2474</v>
      </c>
      <c r="M53" s="530" t="s">
        <v>854</v>
      </c>
      <c r="N53" s="72" t="s">
        <v>860</v>
      </c>
      <c r="O53" s="73">
        <v>8.727</v>
      </c>
      <c r="P53" s="73">
        <f>O53*H53</f>
        <v>8.727</v>
      </c>
      <c r="Q53" s="73">
        <v>0</v>
      </c>
      <c r="R53" s="73">
        <f>Q53*H53</f>
        <v>0</v>
      </c>
      <c r="S53" s="73">
        <v>0</v>
      </c>
      <c r="T53" s="74">
        <f>S53*H53</f>
        <v>0</v>
      </c>
      <c r="AR53" s="75" t="s">
        <v>363</v>
      </c>
      <c r="AT53" s="75" t="s">
        <v>883</v>
      </c>
      <c r="AU53" s="75" t="s">
        <v>63</v>
      </c>
      <c r="AY53" s="47" t="s">
        <v>881</v>
      </c>
      <c r="BE53" s="76">
        <f>IF(N53="základní",J53,0)</f>
        <v>0</v>
      </c>
      <c r="BF53" s="76">
        <f>IF(N53="snížená",J53,0)</f>
        <v>0</v>
      </c>
      <c r="BG53" s="76">
        <f>IF(N53="zákl. přenesená",J53,0)</f>
        <v>0</v>
      </c>
      <c r="BH53" s="76">
        <f>IF(N53="sníž. přenesená",J53,0)</f>
        <v>0</v>
      </c>
      <c r="BI53" s="76">
        <f>IF(N53="nulová",J53,0)</f>
        <v>0</v>
      </c>
      <c r="BJ53" s="47" t="s">
        <v>51</v>
      </c>
      <c r="BK53" s="76">
        <f>ROUND(I53*H53,2)</f>
        <v>0</v>
      </c>
      <c r="BL53" s="47" t="s">
        <v>363</v>
      </c>
      <c r="BM53" s="75" t="s">
        <v>1500</v>
      </c>
    </row>
    <row r="54" spans="3:65" s="48" customFormat="1" ht="21.75" customHeight="1">
      <c r="C54" s="79" t="s">
        <v>172</v>
      </c>
      <c r="D54" s="79" t="s">
        <v>883</v>
      </c>
      <c r="E54" s="80" t="s">
        <v>1501</v>
      </c>
      <c r="F54" s="81" t="s">
        <v>2484</v>
      </c>
      <c r="G54" s="82" t="s">
        <v>260</v>
      </c>
      <c r="H54" s="83">
        <v>3</v>
      </c>
      <c r="I54" s="527"/>
      <c r="J54" s="84">
        <f>ROUND(I54*H54,2)</f>
        <v>0</v>
      </c>
      <c r="K54" s="521"/>
      <c r="L54" s="533" t="s">
        <v>2130</v>
      </c>
      <c r="M54" s="530" t="s">
        <v>854</v>
      </c>
      <c r="N54" s="72" t="s">
        <v>860</v>
      </c>
      <c r="O54" s="73">
        <v>0.026</v>
      </c>
      <c r="P54" s="73">
        <f>O54*H54</f>
        <v>0.078</v>
      </c>
      <c r="Q54" s="73">
        <v>0</v>
      </c>
      <c r="R54" s="73">
        <f>Q54*H54</f>
        <v>0</v>
      </c>
      <c r="S54" s="73">
        <v>0</v>
      </c>
      <c r="T54" s="74">
        <f>S54*H54</f>
        <v>0</v>
      </c>
      <c r="AR54" s="75" t="s">
        <v>363</v>
      </c>
      <c r="AT54" s="75" t="s">
        <v>883</v>
      </c>
      <c r="AU54" s="75" t="s">
        <v>63</v>
      </c>
      <c r="AY54" s="47" t="s">
        <v>881</v>
      </c>
      <c r="BE54" s="76">
        <f>IF(N54="základní",J54,0)</f>
        <v>0</v>
      </c>
      <c r="BF54" s="76">
        <f>IF(N54="snížená",J54,0)</f>
        <v>0</v>
      </c>
      <c r="BG54" s="76">
        <f>IF(N54="zákl. přenesená",J54,0)</f>
        <v>0</v>
      </c>
      <c r="BH54" s="76">
        <f>IF(N54="sníž. přenesená",J54,0)</f>
        <v>0</v>
      </c>
      <c r="BI54" s="76">
        <f>IF(N54="nulová",J54,0)</f>
        <v>0</v>
      </c>
      <c r="BJ54" s="47" t="s">
        <v>51</v>
      </c>
      <c r="BK54" s="76">
        <f>ROUND(I54*H54,2)</f>
        <v>0</v>
      </c>
      <c r="BL54" s="47" t="s">
        <v>363</v>
      </c>
      <c r="BM54" s="75" t="s">
        <v>1503</v>
      </c>
    </row>
    <row r="55" spans="4:63" s="64" customFormat="1" ht="25.95" customHeight="1">
      <c r="D55" s="65" t="s">
        <v>877</v>
      </c>
      <c r="E55" s="203" t="s">
        <v>201</v>
      </c>
      <c r="F55" s="203" t="s">
        <v>1412</v>
      </c>
      <c r="J55" s="204">
        <f>BK55</f>
        <v>0</v>
      </c>
      <c r="P55" s="67">
        <f>P56</f>
        <v>167.93135400000006</v>
      </c>
      <c r="R55" s="67">
        <f>R56</f>
        <v>14.364123359999999</v>
      </c>
      <c r="T55" s="68">
        <f>T56</f>
        <v>0</v>
      </c>
      <c r="AR55" s="65" t="s">
        <v>67</v>
      </c>
      <c r="AT55" s="69" t="s">
        <v>877</v>
      </c>
      <c r="AU55" s="69" t="s">
        <v>880</v>
      </c>
      <c r="AY55" s="65" t="s">
        <v>881</v>
      </c>
      <c r="BK55" s="70">
        <f>BK56</f>
        <v>0</v>
      </c>
    </row>
    <row r="56" spans="4:63" s="64" customFormat="1" ht="22.95" customHeight="1">
      <c r="D56" s="65" t="s">
        <v>877</v>
      </c>
      <c r="E56" s="205" t="s">
        <v>1504</v>
      </c>
      <c r="F56" s="205" t="s">
        <v>1505</v>
      </c>
      <c r="J56" s="206">
        <f>BK56</f>
        <v>0</v>
      </c>
      <c r="P56" s="67">
        <f>SUM(P57:P93)</f>
        <v>167.93135400000006</v>
      </c>
      <c r="R56" s="67">
        <f>SUM(R57:R93)</f>
        <v>14.364123359999999</v>
      </c>
      <c r="T56" s="68">
        <f>SUM(T57:T93)</f>
        <v>0</v>
      </c>
      <c r="AR56" s="65" t="s">
        <v>67</v>
      </c>
      <c r="AT56" s="69" t="s">
        <v>877</v>
      </c>
      <c r="AU56" s="69" t="s">
        <v>51</v>
      </c>
      <c r="AY56" s="65" t="s">
        <v>881</v>
      </c>
      <c r="BK56" s="70">
        <f>SUM(BK57:BK93)</f>
        <v>0</v>
      </c>
    </row>
    <row r="57" spans="3:65" s="48" customFormat="1" ht="24.15" customHeight="1">
      <c r="C57" s="79" t="s">
        <v>177</v>
      </c>
      <c r="D57" s="79" t="s">
        <v>883</v>
      </c>
      <c r="E57" s="80" t="s">
        <v>1506</v>
      </c>
      <c r="F57" s="81" t="s">
        <v>1507</v>
      </c>
      <c r="G57" s="82" t="s">
        <v>1508</v>
      </c>
      <c r="H57" s="83">
        <v>0.07</v>
      </c>
      <c r="I57" s="527"/>
      <c r="J57" s="84">
        <f>ROUND(I57*H57,2)</f>
        <v>0</v>
      </c>
      <c r="K57" s="521"/>
      <c r="L57" s="533" t="s">
        <v>2474</v>
      </c>
      <c r="M57" s="530" t="s">
        <v>854</v>
      </c>
      <c r="N57" s="72" t="s">
        <v>860</v>
      </c>
      <c r="O57" s="73">
        <v>4.1</v>
      </c>
      <c r="P57" s="73">
        <f>O57*H57</f>
        <v>0.287</v>
      </c>
      <c r="Q57" s="73">
        <v>0.0088</v>
      </c>
      <c r="R57" s="73">
        <f>Q57*H57</f>
        <v>0.0006160000000000001</v>
      </c>
      <c r="S57" s="73">
        <v>0</v>
      </c>
      <c r="T57" s="74">
        <f>S57*H57</f>
        <v>0</v>
      </c>
      <c r="AR57" s="75" t="s">
        <v>363</v>
      </c>
      <c r="AT57" s="75" t="s">
        <v>883</v>
      </c>
      <c r="AU57" s="75" t="s">
        <v>63</v>
      </c>
      <c r="AY57" s="47" t="s">
        <v>881</v>
      </c>
      <c r="BE57" s="76">
        <f>IF(N57="základní",J57,0)</f>
        <v>0</v>
      </c>
      <c r="BF57" s="76">
        <f>IF(N57="snížená",J57,0)</f>
        <v>0</v>
      </c>
      <c r="BG57" s="76">
        <f>IF(N57="zákl. přenesená",J57,0)</f>
        <v>0</v>
      </c>
      <c r="BH57" s="76">
        <f>IF(N57="sníž. přenesená",J57,0)</f>
        <v>0</v>
      </c>
      <c r="BI57" s="76">
        <f>IF(N57="nulová",J57,0)</f>
        <v>0</v>
      </c>
      <c r="BJ57" s="47" t="s">
        <v>51</v>
      </c>
      <c r="BK57" s="76">
        <f>ROUND(I57*H57,2)</f>
        <v>0</v>
      </c>
      <c r="BL57" s="47" t="s">
        <v>363</v>
      </c>
      <c r="BM57" s="75" t="s">
        <v>1509</v>
      </c>
    </row>
    <row r="58" spans="3:65" s="48" customFormat="1" ht="24.15" customHeight="1">
      <c r="C58" s="79" t="s">
        <v>181</v>
      </c>
      <c r="D58" s="79" t="s">
        <v>883</v>
      </c>
      <c r="E58" s="80" t="s">
        <v>1510</v>
      </c>
      <c r="F58" s="81" t="s">
        <v>1511</v>
      </c>
      <c r="G58" s="82" t="s">
        <v>1508</v>
      </c>
      <c r="H58" s="83">
        <v>7</v>
      </c>
      <c r="I58" s="527"/>
      <c r="J58" s="84">
        <f>ROUND(I58*H58,2)</f>
        <v>0</v>
      </c>
      <c r="K58" s="521"/>
      <c r="L58" s="533" t="s">
        <v>2474</v>
      </c>
      <c r="M58" s="530" t="s">
        <v>854</v>
      </c>
      <c r="N58" s="72" t="s">
        <v>860</v>
      </c>
      <c r="O58" s="73">
        <v>4.696</v>
      </c>
      <c r="P58" s="73">
        <f>O58*H58</f>
        <v>32.872</v>
      </c>
      <c r="Q58" s="73">
        <v>0.0099</v>
      </c>
      <c r="R58" s="73">
        <f>Q58*H58</f>
        <v>0.0693</v>
      </c>
      <c r="S58" s="73">
        <v>0</v>
      </c>
      <c r="T58" s="74">
        <f>S58*H58</f>
        <v>0</v>
      </c>
      <c r="AR58" s="75" t="s">
        <v>363</v>
      </c>
      <c r="AT58" s="75" t="s">
        <v>883</v>
      </c>
      <c r="AU58" s="75" t="s">
        <v>63</v>
      </c>
      <c r="AY58" s="47" t="s">
        <v>881</v>
      </c>
      <c r="BE58" s="76">
        <f>IF(N58="základní",J58,0)</f>
        <v>0</v>
      </c>
      <c r="BF58" s="76">
        <f>IF(N58="snížená",J58,0)</f>
        <v>0</v>
      </c>
      <c r="BG58" s="76">
        <f>IF(N58="zákl. přenesená",J58,0)</f>
        <v>0</v>
      </c>
      <c r="BH58" s="76">
        <f>IF(N58="sníž. přenesená",J58,0)</f>
        <v>0</v>
      </c>
      <c r="BI58" s="76">
        <f>IF(N58="nulová",J58,0)</f>
        <v>0</v>
      </c>
      <c r="BJ58" s="47" t="s">
        <v>51</v>
      </c>
      <c r="BK58" s="76">
        <f>ROUND(I58*H58,2)</f>
        <v>0</v>
      </c>
      <c r="BL58" s="47" t="s">
        <v>363</v>
      </c>
      <c r="BM58" s="75" t="s">
        <v>1512</v>
      </c>
    </row>
    <row r="59" spans="3:65" s="48" customFormat="1" ht="24.15" customHeight="1">
      <c r="C59" s="79" t="s">
        <v>187</v>
      </c>
      <c r="D59" s="79" t="s">
        <v>883</v>
      </c>
      <c r="E59" s="80" t="s">
        <v>1513</v>
      </c>
      <c r="F59" s="81" t="s">
        <v>1514</v>
      </c>
      <c r="G59" s="82" t="s">
        <v>260</v>
      </c>
      <c r="H59" s="83">
        <v>3</v>
      </c>
      <c r="I59" s="527"/>
      <c r="J59" s="84">
        <f>ROUND(I59*H59,2)</f>
        <v>0</v>
      </c>
      <c r="K59" s="521"/>
      <c r="L59" s="533" t="s">
        <v>2474</v>
      </c>
      <c r="M59" s="530" t="s">
        <v>854</v>
      </c>
      <c r="N59" s="72" t="s">
        <v>860</v>
      </c>
      <c r="O59" s="73">
        <v>3.214</v>
      </c>
      <c r="P59" s="73">
        <f>O59*H59</f>
        <v>9.642</v>
      </c>
      <c r="Q59" s="73">
        <v>0</v>
      </c>
      <c r="R59" s="73">
        <f>Q59*H59</f>
        <v>0</v>
      </c>
      <c r="S59" s="73">
        <v>0</v>
      </c>
      <c r="T59" s="74">
        <f>S59*H59</f>
        <v>0</v>
      </c>
      <c r="AR59" s="75" t="s">
        <v>363</v>
      </c>
      <c r="AT59" s="75" t="s">
        <v>883</v>
      </c>
      <c r="AU59" s="75" t="s">
        <v>63</v>
      </c>
      <c r="AY59" s="47" t="s">
        <v>881</v>
      </c>
      <c r="BE59" s="76">
        <f>IF(N59="základní",J59,0)</f>
        <v>0</v>
      </c>
      <c r="BF59" s="76">
        <f>IF(N59="snížená",J59,0)</f>
        <v>0</v>
      </c>
      <c r="BG59" s="76">
        <f>IF(N59="zákl. přenesená",J59,0)</f>
        <v>0</v>
      </c>
      <c r="BH59" s="76">
        <f>IF(N59="sníž. přenesená",J59,0)</f>
        <v>0</v>
      </c>
      <c r="BI59" s="76">
        <f>IF(N59="nulová",J59,0)</f>
        <v>0</v>
      </c>
      <c r="BJ59" s="47" t="s">
        <v>51</v>
      </c>
      <c r="BK59" s="76">
        <f>ROUND(I59*H59,2)</f>
        <v>0</v>
      </c>
      <c r="BL59" s="47" t="s">
        <v>363</v>
      </c>
      <c r="BM59" s="75" t="s">
        <v>1515</v>
      </c>
    </row>
    <row r="60" spans="3:65" s="48" customFormat="1" ht="24.15" customHeight="1">
      <c r="C60" s="79" t="s">
        <v>198</v>
      </c>
      <c r="D60" s="79" t="s">
        <v>883</v>
      </c>
      <c r="E60" s="80" t="s">
        <v>1513</v>
      </c>
      <c r="F60" s="81" t="s">
        <v>1514</v>
      </c>
      <c r="G60" s="82" t="s">
        <v>260</v>
      </c>
      <c r="H60" s="83">
        <v>3</v>
      </c>
      <c r="I60" s="527"/>
      <c r="J60" s="84">
        <f>ROUND(I60*H60,2)</f>
        <v>0</v>
      </c>
      <c r="K60" s="521"/>
      <c r="L60" s="533" t="s">
        <v>2474</v>
      </c>
      <c r="M60" s="530" t="s">
        <v>854</v>
      </c>
      <c r="N60" s="72" t="s">
        <v>860</v>
      </c>
      <c r="O60" s="73">
        <v>3.214</v>
      </c>
      <c r="P60" s="73">
        <f>O60*H60</f>
        <v>9.642</v>
      </c>
      <c r="Q60" s="73">
        <v>0</v>
      </c>
      <c r="R60" s="73">
        <f>Q60*H60</f>
        <v>0</v>
      </c>
      <c r="S60" s="73">
        <v>0</v>
      </c>
      <c r="T60" s="74">
        <f>S60*H60</f>
        <v>0</v>
      </c>
      <c r="AR60" s="75" t="s">
        <v>363</v>
      </c>
      <c r="AT60" s="75" t="s">
        <v>883</v>
      </c>
      <c r="AU60" s="75" t="s">
        <v>63</v>
      </c>
      <c r="AY60" s="47" t="s">
        <v>881</v>
      </c>
      <c r="BE60" s="76">
        <f>IF(N60="základní",J60,0)</f>
        <v>0</v>
      </c>
      <c r="BF60" s="76">
        <f>IF(N60="snížená",J60,0)</f>
        <v>0</v>
      </c>
      <c r="BG60" s="76">
        <f>IF(N60="zákl. přenesená",J60,0)</f>
        <v>0</v>
      </c>
      <c r="BH60" s="76">
        <f>IF(N60="sníž. přenesená",J60,0)</f>
        <v>0</v>
      </c>
      <c r="BI60" s="76">
        <f>IF(N60="nulová",J60,0)</f>
        <v>0</v>
      </c>
      <c r="BJ60" s="47" t="s">
        <v>51</v>
      </c>
      <c r="BK60" s="76">
        <f>ROUND(I60*H60,2)</f>
        <v>0</v>
      </c>
      <c r="BL60" s="47" t="s">
        <v>363</v>
      </c>
      <c r="BM60" s="75" t="s">
        <v>1516</v>
      </c>
    </row>
    <row r="61" spans="3:65" s="48" customFormat="1" ht="24.15" customHeight="1">
      <c r="C61" s="79" t="s">
        <v>206</v>
      </c>
      <c r="D61" s="79" t="s">
        <v>883</v>
      </c>
      <c r="E61" s="80" t="s">
        <v>1517</v>
      </c>
      <c r="F61" s="81" t="s">
        <v>1518</v>
      </c>
      <c r="G61" s="82" t="s">
        <v>81</v>
      </c>
      <c r="H61" s="83">
        <v>2.304</v>
      </c>
      <c r="I61" s="527"/>
      <c r="J61" s="84">
        <f>ROUND(I61*H61,2)</f>
        <v>0</v>
      </c>
      <c r="K61" s="521"/>
      <c r="L61" s="533" t="s">
        <v>2474</v>
      </c>
      <c r="M61" s="530" t="s">
        <v>854</v>
      </c>
      <c r="N61" s="72" t="s">
        <v>860</v>
      </c>
      <c r="O61" s="73">
        <v>0.477</v>
      </c>
      <c r="P61" s="73">
        <f>O61*H61</f>
        <v>1.0990079999999998</v>
      </c>
      <c r="Q61" s="73">
        <v>2.25634</v>
      </c>
      <c r="R61" s="73">
        <f>Q61*H61</f>
        <v>5.19860736</v>
      </c>
      <c r="S61" s="73">
        <v>0</v>
      </c>
      <c r="T61" s="74">
        <f>S61*H61</f>
        <v>0</v>
      </c>
      <c r="AR61" s="75" t="s">
        <v>363</v>
      </c>
      <c r="AT61" s="75" t="s">
        <v>883</v>
      </c>
      <c r="AU61" s="75" t="s">
        <v>63</v>
      </c>
      <c r="AY61" s="47" t="s">
        <v>881</v>
      </c>
      <c r="BE61" s="76">
        <f>IF(N61="základní",J61,0)</f>
        <v>0</v>
      </c>
      <c r="BF61" s="76">
        <f>IF(N61="snížená",J61,0)</f>
        <v>0</v>
      </c>
      <c r="BG61" s="76">
        <f>IF(N61="zákl. přenesená",J61,0)</f>
        <v>0</v>
      </c>
      <c r="BH61" s="76">
        <f>IF(N61="sníž. přenesená",J61,0)</f>
        <v>0</v>
      </c>
      <c r="BI61" s="76">
        <f>IF(N61="nulová",J61,0)</f>
        <v>0</v>
      </c>
      <c r="BJ61" s="47" t="s">
        <v>51</v>
      </c>
      <c r="BK61" s="76">
        <f>ROUND(I61*H61,2)</f>
        <v>0</v>
      </c>
      <c r="BL61" s="47" t="s">
        <v>363</v>
      </c>
      <c r="BM61" s="75" t="s">
        <v>1519</v>
      </c>
    </row>
    <row r="62" spans="4:51" s="95" customFormat="1" ht="10.2">
      <c r="D62" s="207" t="s">
        <v>1418</v>
      </c>
      <c r="E62" s="96" t="s">
        <v>854</v>
      </c>
      <c r="F62" s="208" t="s">
        <v>1520</v>
      </c>
      <c r="H62" s="209">
        <v>2.304</v>
      </c>
      <c r="T62" s="97"/>
      <c r="AT62" s="96" t="s">
        <v>1418</v>
      </c>
      <c r="AU62" s="96" t="s">
        <v>63</v>
      </c>
      <c r="AV62" s="95" t="s">
        <v>63</v>
      </c>
      <c r="AW62" s="95" t="s">
        <v>1420</v>
      </c>
      <c r="AX62" s="95" t="s">
        <v>880</v>
      </c>
      <c r="AY62" s="96" t="s">
        <v>881</v>
      </c>
    </row>
    <row r="63" spans="3:65" s="48" customFormat="1" ht="24.15" customHeight="1">
      <c r="C63" s="79" t="s">
        <v>211</v>
      </c>
      <c r="D63" s="79" t="s">
        <v>883</v>
      </c>
      <c r="E63" s="80" t="s">
        <v>1521</v>
      </c>
      <c r="F63" s="81" t="s">
        <v>1522</v>
      </c>
      <c r="G63" s="82" t="s">
        <v>81</v>
      </c>
      <c r="H63" s="83">
        <v>2.88</v>
      </c>
      <c r="I63" s="527"/>
      <c r="J63" s="84">
        <f>ROUND(I63*H63,2)</f>
        <v>0</v>
      </c>
      <c r="K63" s="521"/>
      <c r="L63" s="533" t="s">
        <v>2474</v>
      </c>
      <c r="M63" s="530" t="s">
        <v>854</v>
      </c>
      <c r="N63" s="72" t="s">
        <v>860</v>
      </c>
      <c r="O63" s="73">
        <v>6.436</v>
      </c>
      <c r="P63" s="73">
        <f>O63*H63</f>
        <v>18.53568</v>
      </c>
      <c r="Q63" s="73">
        <v>0</v>
      </c>
      <c r="R63" s="73">
        <f>Q63*H63</f>
        <v>0</v>
      </c>
      <c r="S63" s="73">
        <v>0</v>
      </c>
      <c r="T63" s="74">
        <f>S63*H63</f>
        <v>0</v>
      </c>
      <c r="AR63" s="75" t="s">
        <v>363</v>
      </c>
      <c r="AT63" s="75" t="s">
        <v>883</v>
      </c>
      <c r="AU63" s="75" t="s">
        <v>63</v>
      </c>
      <c r="AY63" s="47" t="s">
        <v>881</v>
      </c>
      <c r="BE63" s="76">
        <f>IF(N63="základní",J63,0)</f>
        <v>0</v>
      </c>
      <c r="BF63" s="76">
        <f>IF(N63="snížená",J63,0)</f>
        <v>0</v>
      </c>
      <c r="BG63" s="76">
        <f>IF(N63="zákl. přenesená",J63,0)</f>
        <v>0</v>
      </c>
      <c r="BH63" s="76">
        <f>IF(N63="sníž. přenesená",J63,0)</f>
        <v>0</v>
      </c>
      <c r="BI63" s="76">
        <f>IF(N63="nulová",J63,0)</f>
        <v>0</v>
      </c>
      <c r="BJ63" s="47" t="s">
        <v>51</v>
      </c>
      <c r="BK63" s="76">
        <f>ROUND(I63*H63,2)</f>
        <v>0</v>
      </c>
      <c r="BL63" s="47" t="s">
        <v>363</v>
      </c>
      <c r="BM63" s="75" t="s">
        <v>1523</v>
      </c>
    </row>
    <row r="64" spans="4:51" s="95" customFormat="1" ht="10.2">
      <c r="D64" s="207" t="s">
        <v>1418</v>
      </c>
      <c r="E64" s="96" t="s">
        <v>854</v>
      </c>
      <c r="F64" s="208" t="s">
        <v>1524</v>
      </c>
      <c r="H64" s="209">
        <v>2.88</v>
      </c>
      <c r="T64" s="97"/>
      <c r="AT64" s="96" t="s">
        <v>1418</v>
      </c>
      <c r="AU64" s="96" t="s">
        <v>63</v>
      </c>
      <c r="AV64" s="95" t="s">
        <v>63</v>
      </c>
      <c r="AW64" s="95" t="s">
        <v>1420</v>
      </c>
      <c r="AX64" s="95" t="s">
        <v>51</v>
      </c>
      <c r="AY64" s="96" t="s">
        <v>881</v>
      </c>
    </row>
    <row r="65" spans="3:65" s="48" customFormat="1" ht="24.15" customHeight="1">
      <c r="C65" s="79" t="s">
        <v>108</v>
      </c>
      <c r="D65" s="79" t="s">
        <v>883</v>
      </c>
      <c r="E65" s="80" t="s">
        <v>1525</v>
      </c>
      <c r="F65" s="81" t="s">
        <v>1526</v>
      </c>
      <c r="G65" s="82" t="s">
        <v>74</v>
      </c>
      <c r="H65" s="83">
        <v>55</v>
      </c>
      <c r="I65" s="527"/>
      <c r="J65" s="84">
        <f aca="true" t="shared" si="10" ref="J65:J80">ROUND(I65*H65,2)</f>
        <v>0</v>
      </c>
      <c r="K65" s="521"/>
      <c r="L65" s="533" t="s">
        <v>2474</v>
      </c>
      <c r="M65" s="530" t="s">
        <v>854</v>
      </c>
      <c r="N65" s="72" t="s">
        <v>860</v>
      </c>
      <c r="O65" s="73">
        <v>0.887</v>
      </c>
      <c r="P65" s="73">
        <f aca="true" t="shared" si="11" ref="P65:P80">O65*H65</f>
        <v>48.785000000000004</v>
      </c>
      <c r="Q65" s="73">
        <v>0</v>
      </c>
      <c r="R65" s="73">
        <f aca="true" t="shared" si="12" ref="R65:R80">Q65*H65</f>
        <v>0</v>
      </c>
      <c r="S65" s="73">
        <v>0</v>
      </c>
      <c r="T65" s="74">
        <f aca="true" t="shared" si="13" ref="T65:T80">S65*H65</f>
        <v>0</v>
      </c>
      <c r="AR65" s="75" t="s">
        <v>363</v>
      </c>
      <c r="AT65" s="75" t="s">
        <v>883</v>
      </c>
      <c r="AU65" s="75" t="s">
        <v>63</v>
      </c>
      <c r="AY65" s="47" t="s">
        <v>881</v>
      </c>
      <c r="BE65" s="76">
        <f aca="true" t="shared" si="14" ref="BE65:BE80">IF(N65="základní",J65,0)</f>
        <v>0</v>
      </c>
      <c r="BF65" s="76">
        <f aca="true" t="shared" si="15" ref="BF65:BF80">IF(N65="snížená",J65,0)</f>
        <v>0</v>
      </c>
      <c r="BG65" s="76">
        <f aca="true" t="shared" si="16" ref="BG65:BG80">IF(N65="zákl. přenesená",J65,0)</f>
        <v>0</v>
      </c>
      <c r="BH65" s="76">
        <f aca="true" t="shared" si="17" ref="BH65:BH80">IF(N65="sníž. přenesená",J65,0)</f>
        <v>0</v>
      </c>
      <c r="BI65" s="76">
        <f aca="true" t="shared" si="18" ref="BI65:BI80">IF(N65="nulová",J65,0)</f>
        <v>0</v>
      </c>
      <c r="BJ65" s="47" t="s">
        <v>51</v>
      </c>
      <c r="BK65" s="76">
        <f aca="true" t="shared" si="19" ref="BK65:BK80">ROUND(I65*H65,2)</f>
        <v>0</v>
      </c>
      <c r="BL65" s="47" t="s">
        <v>363</v>
      </c>
      <c r="BM65" s="75" t="s">
        <v>1527</v>
      </c>
    </row>
    <row r="66" spans="3:65" s="48" customFormat="1" ht="24.15" customHeight="1">
      <c r="C66" s="79" t="s">
        <v>221</v>
      </c>
      <c r="D66" s="79" t="s">
        <v>883</v>
      </c>
      <c r="E66" s="80" t="s">
        <v>1528</v>
      </c>
      <c r="F66" s="81" t="s">
        <v>1529</v>
      </c>
      <c r="G66" s="82" t="s">
        <v>74</v>
      </c>
      <c r="H66" s="83">
        <v>3</v>
      </c>
      <c r="I66" s="527"/>
      <c r="J66" s="84">
        <f t="shared" si="10"/>
        <v>0</v>
      </c>
      <c r="K66" s="521"/>
      <c r="L66" s="533" t="s">
        <v>2474</v>
      </c>
      <c r="M66" s="530" t="s">
        <v>854</v>
      </c>
      <c r="N66" s="72" t="s">
        <v>860</v>
      </c>
      <c r="O66" s="73">
        <v>0.408</v>
      </c>
      <c r="P66" s="73">
        <f t="shared" si="11"/>
        <v>1.224</v>
      </c>
      <c r="Q66" s="73">
        <v>0</v>
      </c>
      <c r="R66" s="73">
        <f t="shared" si="12"/>
        <v>0</v>
      </c>
      <c r="S66" s="73">
        <v>0</v>
      </c>
      <c r="T66" s="74">
        <f t="shared" si="13"/>
        <v>0</v>
      </c>
      <c r="AR66" s="75" t="s">
        <v>363</v>
      </c>
      <c r="AT66" s="75" t="s">
        <v>883</v>
      </c>
      <c r="AU66" s="75" t="s">
        <v>63</v>
      </c>
      <c r="AY66" s="47" t="s">
        <v>881</v>
      </c>
      <c r="BE66" s="76">
        <f t="shared" si="14"/>
        <v>0</v>
      </c>
      <c r="BF66" s="76">
        <f t="shared" si="15"/>
        <v>0</v>
      </c>
      <c r="BG66" s="76">
        <f t="shared" si="16"/>
        <v>0</v>
      </c>
      <c r="BH66" s="76">
        <f t="shared" si="17"/>
        <v>0</v>
      </c>
      <c r="BI66" s="76">
        <f t="shared" si="18"/>
        <v>0</v>
      </c>
      <c r="BJ66" s="47" t="s">
        <v>51</v>
      </c>
      <c r="BK66" s="76">
        <f t="shared" si="19"/>
        <v>0</v>
      </c>
      <c r="BL66" s="47" t="s">
        <v>363</v>
      </c>
      <c r="BM66" s="75" t="s">
        <v>1530</v>
      </c>
    </row>
    <row r="67" spans="3:65" s="48" customFormat="1" ht="24.15" customHeight="1">
      <c r="C67" s="79" t="s">
        <v>226</v>
      </c>
      <c r="D67" s="79" t="s">
        <v>883</v>
      </c>
      <c r="E67" s="80" t="s">
        <v>1531</v>
      </c>
      <c r="F67" s="81" t="s">
        <v>1532</v>
      </c>
      <c r="G67" s="82" t="s">
        <v>74</v>
      </c>
      <c r="H67" s="83">
        <v>12</v>
      </c>
      <c r="I67" s="527"/>
      <c r="J67" s="84">
        <f t="shared" si="10"/>
        <v>0</v>
      </c>
      <c r="K67" s="521"/>
      <c r="L67" s="533" t="s">
        <v>2474</v>
      </c>
      <c r="M67" s="530" t="s">
        <v>854</v>
      </c>
      <c r="N67" s="72" t="s">
        <v>860</v>
      </c>
      <c r="O67" s="73">
        <v>0.875</v>
      </c>
      <c r="P67" s="73">
        <f t="shared" si="11"/>
        <v>10.5</v>
      </c>
      <c r="Q67" s="73">
        <v>0</v>
      </c>
      <c r="R67" s="73">
        <f t="shared" si="12"/>
        <v>0</v>
      </c>
      <c r="S67" s="73">
        <v>0</v>
      </c>
      <c r="T67" s="74">
        <f t="shared" si="13"/>
        <v>0</v>
      </c>
      <c r="AR67" s="75" t="s">
        <v>363</v>
      </c>
      <c r="AT67" s="75" t="s">
        <v>883</v>
      </c>
      <c r="AU67" s="75" t="s">
        <v>63</v>
      </c>
      <c r="AY67" s="47" t="s">
        <v>881</v>
      </c>
      <c r="BE67" s="76">
        <f t="shared" si="14"/>
        <v>0</v>
      </c>
      <c r="BF67" s="76">
        <f t="shared" si="15"/>
        <v>0</v>
      </c>
      <c r="BG67" s="76">
        <f t="shared" si="16"/>
        <v>0</v>
      </c>
      <c r="BH67" s="76">
        <f t="shared" si="17"/>
        <v>0</v>
      </c>
      <c r="BI67" s="76">
        <f t="shared" si="18"/>
        <v>0</v>
      </c>
      <c r="BJ67" s="47" t="s">
        <v>51</v>
      </c>
      <c r="BK67" s="76">
        <f t="shared" si="19"/>
        <v>0</v>
      </c>
      <c r="BL67" s="47" t="s">
        <v>363</v>
      </c>
      <c r="BM67" s="75" t="s">
        <v>1533</v>
      </c>
    </row>
    <row r="68" spans="3:65" s="48" customFormat="1" ht="24.15" customHeight="1">
      <c r="C68" s="79" t="s">
        <v>229</v>
      </c>
      <c r="D68" s="79" t="s">
        <v>883</v>
      </c>
      <c r="E68" s="80" t="s">
        <v>1534</v>
      </c>
      <c r="F68" s="81" t="s">
        <v>1535</v>
      </c>
      <c r="G68" s="82" t="s">
        <v>81</v>
      </c>
      <c r="H68" s="83">
        <v>2</v>
      </c>
      <c r="I68" s="527"/>
      <c r="J68" s="84">
        <f t="shared" si="10"/>
        <v>0</v>
      </c>
      <c r="K68" s="521"/>
      <c r="L68" s="533" t="s">
        <v>2474</v>
      </c>
      <c r="M68" s="530" t="s">
        <v>854</v>
      </c>
      <c r="N68" s="72" t="s">
        <v>860</v>
      </c>
      <c r="O68" s="73">
        <v>1.2</v>
      </c>
      <c r="P68" s="73">
        <f t="shared" si="11"/>
        <v>2.4</v>
      </c>
      <c r="Q68" s="73">
        <v>0</v>
      </c>
      <c r="R68" s="73">
        <f t="shared" si="12"/>
        <v>0</v>
      </c>
      <c r="S68" s="73">
        <v>0</v>
      </c>
      <c r="T68" s="74">
        <f t="shared" si="13"/>
        <v>0</v>
      </c>
      <c r="AR68" s="75" t="s">
        <v>363</v>
      </c>
      <c r="AT68" s="75" t="s">
        <v>883</v>
      </c>
      <c r="AU68" s="75" t="s">
        <v>63</v>
      </c>
      <c r="AY68" s="47" t="s">
        <v>881</v>
      </c>
      <c r="BE68" s="76">
        <f t="shared" si="14"/>
        <v>0</v>
      </c>
      <c r="BF68" s="76">
        <f t="shared" si="15"/>
        <v>0</v>
      </c>
      <c r="BG68" s="76">
        <f t="shared" si="16"/>
        <v>0</v>
      </c>
      <c r="BH68" s="76">
        <f t="shared" si="17"/>
        <v>0</v>
      </c>
      <c r="BI68" s="76">
        <f t="shared" si="18"/>
        <v>0</v>
      </c>
      <c r="BJ68" s="47" t="s">
        <v>51</v>
      </c>
      <c r="BK68" s="76">
        <f t="shared" si="19"/>
        <v>0</v>
      </c>
      <c r="BL68" s="47" t="s">
        <v>363</v>
      </c>
      <c r="BM68" s="75" t="s">
        <v>1536</v>
      </c>
    </row>
    <row r="69" spans="3:65" s="48" customFormat="1" ht="33" customHeight="1">
      <c r="C69" s="79" t="s">
        <v>112</v>
      </c>
      <c r="D69" s="79" t="s">
        <v>883</v>
      </c>
      <c r="E69" s="80" t="s">
        <v>1537</v>
      </c>
      <c r="F69" s="81" t="s">
        <v>1538</v>
      </c>
      <c r="G69" s="82" t="s">
        <v>74</v>
      </c>
      <c r="H69" s="83">
        <v>58</v>
      </c>
      <c r="I69" s="527"/>
      <c r="J69" s="84">
        <f t="shared" si="10"/>
        <v>0</v>
      </c>
      <c r="K69" s="521"/>
      <c r="L69" s="533" t="s">
        <v>2474</v>
      </c>
      <c r="M69" s="530" t="s">
        <v>854</v>
      </c>
      <c r="N69" s="72" t="s">
        <v>860</v>
      </c>
      <c r="O69" s="73">
        <v>0.073</v>
      </c>
      <c r="P69" s="73">
        <f t="shared" si="11"/>
        <v>4.234</v>
      </c>
      <c r="Q69" s="73">
        <v>0.05264</v>
      </c>
      <c r="R69" s="73">
        <f t="shared" si="12"/>
        <v>3.05312</v>
      </c>
      <c r="S69" s="73">
        <v>0</v>
      </c>
      <c r="T69" s="74">
        <f t="shared" si="13"/>
        <v>0</v>
      </c>
      <c r="AR69" s="75" t="s">
        <v>363</v>
      </c>
      <c r="AT69" s="75" t="s">
        <v>883</v>
      </c>
      <c r="AU69" s="75" t="s">
        <v>63</v>
      </c>
      <c r="AY69" s="47" t="s">
        <v>881</v>
      </c>
      <c r="BE69" s="76">
        <f t="shared" si="14"/>
        <v>0</v>
      </c>
      <c r="BF69" s="76">
        <f t="shared" si="15"/>
        <v>0</v>
      </c>
      <c r="BG69" s="76">
        <f t="shared" si="16"/>
        <v>0</v>
      </c>
      <c r="BH69" s="76">
        <f t="shared" si="17"/>
        <v>0</v>
      </c>
      <c r="BI69" s="76">
        <f t="shared" si="18"/>
        <v>0</v>
      </c>
      <c r="BJ69" s="47" t="s">
        <v>51</v>
      </c>
      <c r="BK69" s="76">
        <f t="shared" si="19"/>
        <v>0</v>
      </c>
      <c r="BL69" s="47" t="s">
        <v>363</v>
      </c>
      <c r="BM69" s="75" t="s">
        <v>1539</v>
      </c>
    </row>
    <row r="70" spans="3:65" s="48" customFormat="1" ht="16.5" customHeight="1">
      <c r="C70" s="79" t="s">
        <v>237</v>
      </c>
      <c r="D70" s="79" t="s">
        <v>883</v>
      </c>
      <c r="E70" s="80" t="s">
        <v>1540</v>
      </c>
      <c r="F70" s="81" t="s">
        <v>1541</v>
      </c>
      <c r="G70" s="82" t="s">
        <v>74</v>
      </c>
      <c r="H70" s="83">
        <v>12</v>
      </c>
      <c r="I70" s="527"/>
      <c r="J70" s="84">
        <f t="shared" si="10"/>
        <v>0</v>
      </c>
      <c r="K70" s="521"/>
      <c r="L70" s="533" t="s">
        <v>2130</v>
      </c>
      <c r="M70" s="530" t="s">
        <v>854</v>
      </c>
      <c r="N70" s="72" t="s">
        <v>860</v>
      </c>
      <c r="O70" s="73">
        <v>0.073</v>
      </c>
      <c r="P70" s="73">
        <f t="shared" si="11"/>
        <v>0.8759999999999999</v>
      </c>
      <c r="Q70" s="73">
        <v>0.05264</v>
      </c>
      <c r="R70" s="73">
        <f t="shared" si="12"/>
        <v>0.63168</v>
      </c>
      <c r="S70" s="73">
        <v>0</v>
      </c>
      <c r="T70" s="74">
        <f t="shared" si="13"/>
        <v>0</v>
      </c>
      <c r="AR70" s="75" t="s">
        <v>363</v>
      </c>
      <c r="AT70" s="75" t="s">
        <v>883</v>
      </c>
      <c r="AU70" s="75" t="s">
        <v>63</v>
      </c>
      <c r="AY70" s="47" t="s">
        <v>881</v>
      </c>
      <c r="BE70" s="76">
        <f t="shared" si="14"/>
        <v>0</v>
      </c>
      <c r="BF70" s="76">
        <f t="shared" si="15"/>
        <v>0</v>
      </c>
      <c r="BG70" s="76">
        <f t="shared" si="16"/>
        <v>0</v>
      </c>
      <c r="BH70" s="76">
        <f t="shared" si="17"/>
        <v>0</v>
      </c>
      <c r="BI70" s="76">
        <f t="shared" si="18"/>
        <v>0</v>
      </c>
      <c r="BJ70" s="47" t="s">
        <v>51</v>
      </c>
      <c r="BK70" s="76">
        <f t="shared" si="19"/>
        <v>0</v>
      </c>
      <c r="BL70" s="47" t="s">
        <v>363</v>
      </c>
      <c r="BM70" s="75" t="s">
        <v>1542</v>
      </c>
    </row>
    <row r="71" spans="3:65" s="48" customFormat="1" ht="24.15" customHeight="1">
      <c r="C71" s="79" t="s">
        <v>243</v>
      </c>
      <c r="D71" s="79" t="s">
        <v>883</v>
      </c>
      <c r="E71" s="80" t="s">
        <v>1543</v>
      </c>
      <c r="F71" s="81" t="s">
        <v>1544</v>
      </c>
      <c r="G71" s="82" t="s">
        <v>74</v>
      </c>
      <c r="H71" s="83">
        <v>12</v>
      </c>
      <c r="I71" s="527"/>
      <c r="J71" s="84">
        <f t="shared" si="10"/>
        <v>0</v>
      </c>
      <c r="K71" s="521"/>
      <c r="L71" s="533" t="s">
        <v>2474</v>
      </c>
      <c r="M71" s="530" t="s">
        <v>854</v>
      </c>
      <c r="N71" s="72" t="s">
        <v>860</v>
      </c>
      <c r="O71" s="73">
        <v>0.111</v>
      </c>
      <c r="P71" s="73">
        <f t="shared" si="11"/>
        <v>1.332</v>
      </c>
      <c r="Q71" s="73">
        <v>0.203</v>
      </c>
      <c r="R71" s="73">
        <f t="shared" si="12"/>
        <v>2.436</v>
      </c>
      <c r="S71" s="73">
        <v>0</v>
      </c>
      <c r="T71" s="74">
        <f t="shared" si="13"/>
        <v>0</v>
      </c>
      <c r="AR71" s="75" t="s">
        <v>363</v>
      </c>
      <c r="AT71" s="75" t="s">
        <v>883</v>
      </c>
      <c r="AU71" s="75" t="s">
        <v>63</v>
      </c>
      <c r="AY71" s="47" t="s">
        <v>881</v>
      </c>
      <c r="BE71" s="76">
        <f t="shared" si="14"/>
        <v>0</v>
      </c>
      <c r="BF71" s="76">
        <f t="shared" si="15"/>
        <v>0</v>
      </c>
      <c r="BG71" s="76">
        <f t="shared" si="16"/>
        <v>0</v>
      </c>
      <c r="BH71" s="76">
        <f t="shared" si="17"/>
        <v>0</v>
      </c>
      <c r="BI71" s="76">
        <f t="shared" si="18"/>
        <v>0</v>
      </c>
      <c r="BJ71" s="47" t="s">
        <v>51</v>
      </c>
      <c r="BK71" s="76">
        <f t="shared" si="19"/>
        <v>0</v>
      </c>
      <c r="BL71" s="47" t="s">
        <v>363</v>
      </c>
      <c r="BM71" s="75" t="s">
        <v>1545</v>
      </c>
    </row>
    <row r="72" spans="3:65" s="48" customFormat="1" ht="24.15" customHeight="1">
      <c r="C72" s="79" t="s">
        <v>144</v>
      </c>
      <c r="D72" s="79" t="s">
        <v>883</v>
      </c>
      <c r="E72" s="80" t="s">
        <v>1546</v>
      </c>
      <c r="F72" s="81" t="s">
        <v>1547</v>
      </c>
      <c r="G72" s="82" t="s">
        <v>260</v>
      </c>
      <c r="H72" s="83">
        <v>2</v>
      </c>
      <c r="I72" s="527"/>
      <c r="J72" s="84">
        <f t="shared" si="10"/>
        <v>0</v>
      </c>
      <c r="K72" s="521"/>
      <c r="L72" s="533" t="s">
        <v>2474</v>
      </c>
      <c r="M72" s="530" t="s">
        <v>854</v>
      </c>
      <c r="N72" s="72" t="s">
        <v>860</v>
      </c>
      <c r="O72" s="73">
        <v>0.019</v>
      </c>
      <c r="P72" s="73">
        <f t="shared" si="11"/>
        <v>0.038</v>
      </c>
      <c r="Q72" s="73">
        <v>0.0038</v>
      </c>
      <c r="R72" s="73">
        <f t="shared" si="12"/>
        <v>0.0076</v>
      </c>
      <c r="S72" s="73">
        <v>0</v>
      </c>
      <c r="T72" s="74">
        <f t="shared" si="13"/>
        <v>0</v>
      </c>
      <c r="AR72" s="75" t="s">
        <v>363</v>
      </c>
      <c r="AT72" s="75" t="s">
        <v>883</v>
      </c>
      <c r="AU72" s="75" t="s">
        <v>63</v>
      </c>
      <c r="AY72" s="47" t="s">
        <v>881</v>
      </c>
      <c r="BE72" s="76">
        <f t="shared" si="14"/>
        <v>0</v>
      </c>
      <c r="BF72" s="76">
        <f t="shared" si="15"/>
        <v>0</v>
      </c>
      <c r="BG72" s="76">
        <f t="shared" si="16"/>
        <v>0</v>
      </c>
      <c r="BH72" s="76">
        <f t="shared" si="17"/>
        <v>0</v>
      </c>
      <c r="BI72" s="76">
        <f t="shared" si="18"/>
        <v>0</v>
      </c>
      <c r="BJ72" s="47" t="s">
        <v>51</v>
      </c>
      <c r="BK72" s="76">
        <f t="shared" si="19"/>
        <v>0</v>
      </c>
      <c r="BL72" s="47" t="s">
        <v>363</v>
      </c>
      <c r="BM72" s="75" t="s">
        <v>1548</v>
      </c>
    </row>
    <row r="73" spans="3:65" s="48" customFormat="1" ht="21.75" customHeight="1">
      <c r="C73" s="79" t="s">
        <v>250</v>
      </c>
      <c r="D73" s="79" t="s">
        <v>883</v>
      </c>
      <c r="E73" s="80" t="s">
        <v>1549</v>
      </c>
      <c r="F73" s="81" t="s">
        <v>1550</v>
      </c>
      <c r="G73" s="82" t="s">
        <v>260</v>
      </c>
      <c r="H73" s="83">
        <v>2</v>
      </c>
      <c r="I73" s="527"/>
      <c r="J73" s="84">
        <f t="shared" si="10"/>
        <v>0</v>
      </c>
      <c r="K73" s="521"/>
      <c r="L73" s="533" t="s">
        <v>2474</v>
      </c>
      <c r="M73" s="530" t="s">
        <v>854</v>
      </c>
      <c r="N73" s="72" t="s">
        <v>860</v>
      </c>
      <c r="O73" s="73">
        <v>0.019</v>
      </c>
      <c r="P73" s="73">
        <f t="shared" si="11"/>
        <v>0.038</v>
      </c>
      <c r="Q73" s="73">
        <v>0.0076</v>
      </c>
      <c r="R73" s="73">
        <f t="shared" si="12"/>
        <v>0.0152</v>
      </c>
      <c r="S73" s="73">
        <v>0</v>
      </c>
      <c r="T73" s="74">
        <f t="shared" si="13"/>
        <v>0</v>
      </c>
      <c r="AR73" s="75" t="s">
        <v>363</v>
      </c>
      <c r="AT73" s="75" t="s">
        <v>883</v>
      </c>
      <c r="AU73" s="75" t="s">
        <v>63</v>
      </c>
      <c r="AY73" s="47" t="s">
        <v>881</v>
      </c>
      <c r="BE73" s="76">
        <f t="shared" si="14"/>
        <v>0</v>
      </c>
      <c r="BF73" s="76">
        <f t="shared" si="15"/>
        <v>0</v>
      </c>
      <c r="BG73" s="76">
        <f t="shared" si="16"/>
        <v>0</v>
      </c>
      <c r="BH73" s="76">
        <f t="shared" si="17"/>
        <v>0</v>
      </c>
      <c r="BI73" s="76">
        <f t="shared" si="18"/>
        <v>0</v>
      </c>
      <c r="BJ73" s="47" t="s">
        <v>51</v>
      </c>
      <c r="BK73" s="76">
        <f t="shared" si="19"/>
        <v>0</v>
      </c>
      <c r="BL73" s="47" t="s">
        <v>363</v>
      </c>
      <c r="BM73" s="75" t="s">
        <v>1551</v>
      </c>
    </row>
    <row r="74" spans="3:65" s="48" customFormat="1" ht="24.15" customHeight="1">
      <c r="C74" s="79" t="s">
        <v>253</v>
      </c>
      <c r="D74" s="79" t="s">
        <v>883</v>
      </c>
      <c r="E74" s="80" t="s">
        <v>1552</v>
      </c>
      <c r="F74" s="81" t="s">
        <v>1553</v>
      </c>
      <c r="G74" s="82" t="s">
        <v>74</v>
      </c>
      <c r="H74" s="83">
        <v>2</v>
      </c>
      <c r="I74" s="527"/>
      <c r="J74" s="84">
        <f t="shared" si="10"/>
        <v>0</v>
      </c>
      <c r="K74" s="521"/>
      <c r="L74" s="533" t="s">
        <v>2474</v>
      </c>
      <c r="M74" s="530" t="s">
        <v>854</v>
      </c>
      <c r="N74" s="72" t="s">
        <v>860</v>
      </c>
      <c r="O74" s="73">
        <v>0.302</v>
      </c>
      <c r="P74" s="73">
        <f t="shared" si="11"/>
        <v>0.604</v>
      </c>
      <c r="Q74" s="73">
        <v>0.18</v>
      </c>
      <c r="R74" s="73">
        <f t="shared" si="12"/>
        <v>0.36</v>
      </c>
      <c r="S74" s="73">
        <v>0</v>
      </c>
      <c r="T74" s="74">
        <f t="shared" si="13"/>
        <v>0</v>
      </c>
      <c r="AR74" s="75" t="s">
        <v>363</v>
      </c>
      <c r="AT74" s="75" t="s">
        <v>883</v>
      </c>
      <c r="AU74" s="75" t="s">
        <v>63</v>
      </c>
      <c r="AY74" s="47" t="s">
        <v>881</v>
      </c>
      <c r="BE74" s="76">
        <f t="shared" si="14"/>
        <v>0</v>
      </c>
      <c r="BF74" s="76">
        <f t="shared" si="15"/>
        <v>0</v>
      </c>
      <c r="BG74" s="76">
        <f t="shared" si="16"/>
        <v>0</v>
      </c>
      <c r="BH74" s="76">
        <f t="shared" si="17"/>
        <v>0</v>
      </c>
      <c r="BI74" s="76">
        <f t="shared" si="18"/>
        <v>0</v>
      </c>
      <c r="BJ74" s="47" t="s">
        <v>51</v>
      </c>
      <c r="BK74" s="76">
        <f t="shared" si="19"/>
        <v>0</v>
      </c>
      <c r="BL74" s="47" t="s">
        <v>363</v>
      </c>
      <c r="BM74" s="75" t="s">
        <v>1554</v>
      </c>
    </row>
    <row r="75" spans="3:65" s="48" customFormat="1" ht="24.15" customHeight="1">
      <c r="C75" s="79" t="s">
        <v>257</v>
      </c>
      <c r="D75" s="79" t="s">
        <v>883</v>
      </c>
      <c r="E75" s="80" t="s">
        <v>1555</v>
      </c>
      <c r="F75" s="81" t="s">
        <v>1556</v>
      </c>
      <c r="G75" s="82" t="s">
        <v>74</v>
      </c>
      <c r="H75" s="83">
        <v>24</v>
      </c>
      <c r="I75" s="527"/>
      <c r="J75" s="84">
        <f t="shared" si="10"/>
        <v>0</v>
      </c>
      <c r="K75" s="521"/>
      <c r="L75" s="533" t="s">
        <v>2474</v>
      </c>
      <c r="M75" s="530" t="s">
        <v>854</v>
      </c>
      <c r="N75" s="72" t="s">
        <v>860</v>
      </c>
      <c r="O75" s="73">
        <v>0.17</v>
      </c>
      <c r="P75" s="73">
        <f t="shared" si="11"/>
        <v>4.08</v>
      </c>
      <c r="Q75" s="73">
        <v>0.108</v>
      </c>
      <c r="R75" s="73">
        <f t="shared" si="12"/>
        <v>2.592</v>
      </c>
      <c r="S75" s="73">
        <v>0</v>
      </c>
      <c r="T75" s="74">
        <f t="shared" si="13"/>
        <v>0</v>
      </c>
      <c r="AR75" s="75" t="s">
        <v>363</v>
      </c>
      <c r="AT75" s="75" t="s">
        <v>883</v>
      </c>
      <c r="AU75" s="75" t="s">
        <v>63</v>
      </c>
      <c r="AY75" s="47" t="s">
        <v>881</v>
      </c>
      <c r="BE75" s="76">
        <f t="shared" si="14"/>
        <v>0</v>
      </c>
      <c r="BF75" s="76">
        <f t="shared" si="15"/>
        <v>0</v>
      </c>
      <c r="BG75" s="76">
        <f t="shared" si="16"/>
        <v>0</v>
      </c>
      <c r="BH75" s="76">
        <f t="shared" si="17"/>
        <v>0</v>
      </c>
      <c r="BI75" s="76">
        <f t="shared" si="18"/>
        <v>0</v>
      </c>
      <c r="BJ75" s="47" t="s">
        <v>51</v>
      </c>
      <c r="BK75" s="76">
        <f t="shared" si="19"/>
        <v>0</v>
      </c>
      <c r="BL75" s="47" t="s">
        <v>363</v>
      </c>
      <c r="BM75" s="75" t="s">
        <v>1557</v>
      </c>
    </row>
    <row r="76" spans="3:65" s="48" customFormat="1" ht="24.15" customHeight="1">
      <c r="C76" s="79" t="s">
        <v>262</v>
      </c>
      <c r="D76" s="79" t="s">
        <v>883</v>
      </c>
      <c r="E76" s="80" t="s">
        <v>1558</v>
      </c>
      <c r="F76" s="81" t="s">
        <v>1559</v>
      </c>
      <c r="G76" s="82" t="s">
        <v>74</v>
      </c>
      <c r="H76" s="83">
        <v>55</v>
      </c>
      <c r="I76" s="527"/>
      <c r="J76" s="84">
        <f t="shared" si="10"/>
        <v>0</v>
      </c>
      <c r="K76" s="521"/>
      <c r="L76" s="533" t="s">
        <v>2474</v>
      </c>
      <c r="M76" s="530" t="s">
        <v>854</v>
      </c>
      <c r="N76" s="72" t="s">
        <v>860</v>
      </c>
      <c r="O76" s="73">
        <v>0.118</v>
      </c>
      <c r="P76" s="73">
        <f t="shared" si="11"/>
        <v>6.489999999999999</v>
      </c>
      <c r="Q76" s="73">
        <v>0</v>
      </c>
      <c r="R76" s="73">
        <f t="shared" si="12"/>
        <v>0</v>
      </c>
      <c r="S76" s="73">
        <v>0</v>
      </c>
      <c r="T76" s="74">
        <f t="shared" si="13"/>
        <v>0</v>
      </c>
      <c r="AR76" s="75" t="s">
        <v>363</v>
      </c>
      <c r="AT76" s="75" t="s">
        <v>883</v>
      </c>
      <c r="AU76" s="75" t="s">
        <v>63</v>
      </c>
      <c r="AY76" s="47" t="s">
        <v>881</v>
      </c>
      <c r="BE76" s="76">
        <f t="shared" si="14"/>
        <v>0</v>
      </c>
      <c r="BF76" s="76">
        <f t="shared" si="15"/>
        <v>0</v>
      </c>
      <c r="BG76" s="76">
        <f t="shared" si="16"/>
        <v>0</v>
      </c>
      <c r="BH76" s="76">
        <f t="shared" si="17"/>
        <v>0</v>
      </c>
      <c r="BI76" s="76">
        <f t="shared" si="18"/>
        <v>0</v>
      </c>
      <c r="BJ76" s="47" t="s">
        <v>51</v>
      </c>
      <c r="BK76" s="76">
        <f t="shared" si="19"/>
        <v>0</v>
      </c>
      <c r="BL76" s="47" t="s">
        <v>363</v>
      </c>
      <c r="BM76" s="75" t="s">
        <v>1560</v>
      </c>
    </row>
    <row r="77" spans="3:65" s="48" customFormat="1" ht="24.15" customHeight="1">
      <c r="C77" s="79" t="s">
        <v>266</v>
      </c>
      <c r="D77" s="79" t="s">
        <v>883</v>
      </c>
      <c r="E77" s="80" t="s">
        <v>1561</v>
      </c>
      <c r="F77" s="81" t="s">
        <v>1562</v>
      </c>
      <c r="G77" s="82" t="s">
        <v>74</v>
      </c>
      <c r="H77" s="83">
        <v>3</v>
      </c>
      <c r="I77" s="527"/>
      <c r="J77" s="84">
        <f t="shared" si="10"/>
        <v>0</v>
      </c>
      <c r="K77" s="521"/>
      <c r="L77" s="533" t="s">
        <v>2474</v>
      </c>
      <c r="M77" s="530" t="s">
        <v>854</v>
      </c>
      <c r="N77" s="72" t="s">
        <v>860</v>
      </c>
      <c r="O77" s="73">
        <v>0.177</v>
      </c>
      <c r="P77" s="73">
        <f t="shared" si="11"/>
        <v>0.5309999999999999</v>
      </c>
      <c r="Q77" s="73">
        <v>0</v>
      </c>
      <c r="R77" s="73">
        <f t="shared" si="12"/>
        <v>0</v>
      </c>
      <c r="S77" s="73">
        <v>0</v>
      </c>
      <c r="T77" s="74">
        <f t="shared" si="13"/>
        <v>0</v>
      </c>
      <c r="AR77" s="75" t="s">
        <v>363</v>
      </c>
      <c r="AT77" s="75" t="s">
        <v>883</v>
      </c>
      <c r="AU77" s="75" t="s">
        <v>63</v>
      </c>
      <c r="AY77" s="47" t="s">
        <v>881</v>
      </c>
      <c r="BE77" s="76">
        <f t="shared" si="14"/>
        <v>0</v>
      </c>
      <c r="BF77" s="76">
        <f t="shared" si="15"/>
        <v>0</v>
      </c>
      <c r="BG77" s="76">
        <f t="shared" si="16"/>
        <v>0</v>
      </c>
      <c r="BH77" s="76">
        <f t="shared" si="17"/>
        <v>0</v>
      </c>
      <c r="BI77" s="76">
        <f t="shared" si="18"/>
        <v>0</v>
      </c>
      <c r="BJ77" s="47" t="s">
        <v>51</v>
      </c>
      <c r="BK77" s="76">
        <f t="shared" si="19"/>
        <v>0</v>
      </c>
      <c r="BL77" s="47" t="s">
        <v>363</v>
      </c>
      <c r="BM77" s="75" t="s">
        <v>1563</v>
      </c>
    </row>
    <row r="78" spans="3:65" s="48" customFormat="1" ht="24.15" customHeight="1">
      <c r="C78" s="79" t="s">
        <v>270</v>
      </c>
      <c r="D78" s="79" t="s">
        <v>883</v>
      </c>
      <c r="E78" s="80" t="s">
        <v>1564</v>
      </c>
      <c r="F78" s="81" t="s">
        <v>1565</v>
      </c>
      <c r="G78" s="82" t="s">
        <v>74</v>
      </c>
      <c r="H78" s="83">
        <v>12</v>
      </c>
      <c r="I78" s="527"/>
      <c r="J78" s="84">
        <f t="shared" si="10"/>
        <v>0</v>
      </c>
      <c r="K78" s="521"/>
      <c r="L78" s="533" t="s">
        <v>2474</v>
      </c>
      <c r="M78" s="530" t="s">
        <v>854</v>
      </c>
      <c r="N78" s="72" t="s">
        <v>860</v>
      </c>
      <c r="O78" s="73">
        <v>0.379</v>
      </c>
      <c r="P78" s="73">
        <f t="shared" si="11"/>
        <v>4.548</v>
      </c>
      <c r="Q78" s="73">
        <v>0</v>
      </c>
      <c r="R78" s="73">
        <f t="shared" si="12"/>
        <v>0</v>
      </c>
      <c r="S78" s="73">
        <v>0</v>
      </c>
      <c r="T78" s="74">
        <f t="shared" si="13"/>
        <v>0</v>
      </c>
      <c r="AR78" s="75" t="s">
        <v>363</v>
      </c>
      <c r="AT78" s="75" t="s">
        <v>883</v>
      </c>
      <c r="AU78" s="75" t="s">
        <v>63</v>
      </c>
      <c r="AY78" s="47" t="s">
        <v>881</v>
      </c>
      <c r="BE78" s="76">
        <f t="shared" si="14"/>
        <v>0</v>
      </c>
      <c r="BF78" s="76">
        <f t="shared" si="15"/>
        <v>0</v>
      </c>
      <c r="BG78" s="76">
        <f t="shared" si="16"/>
        <v>0</v>
      </c>
      <c r="BH78" s="76">
        <f t="shared" si="17"/>
        <v>0</v>
      </c>
      <c r="BI78" s="76">
        <f t="shared" si="18"/>
        <v>0</v>
      </c>
      <c r="BJ78" s="47" t="s">
        <v>51</v>
      </c>
      <c r="BK78" s="76">
        <f t="shared" si="19"/>
        <v>0</v>
      </c>
      <c r="BL78" s="47" t="s">
        <v>363</v>
      </c>
      <c r="BM78" s="75" t="s">
        <v>1566</v>
      </c>
    </row>
    <row r="79" spans="3:65" s="48" customFormat="1" ht="24.15" customHeight="1">
      <c r="C79" s="79" t="s">
        <v>275</v>
      </c>
      <c r="D79" s="79" t="s">
        <v>883</v>
      </c>
      <c r="E79" s="80" t="s">
        <v>1567</v>
      </c>
      <c r="F79" s="81" t="s">
        <v>1568</v>
      </c>
      <c r="G79" s="82" t="s">
        <v>81</v>
      </c>
      <c r="H79" s="83">
        <v>2</v>
      </c>
      <c r="I79" s="527"/>
      <c r="J79" s="84">
        <f t="shared" si="10"/>
        <v>0</v>
      </c>
      <c r="K79" s="521"/>
      <c r="L79" s="533" t="s">
        <v>2474</v>
      </c>
      <c r="M79" s="530" t="s">
        <v>854</v>
      </c>
      <c r="N79" s="72" t="s">
        <v>860</v>
      </c>
      <c r="O79" s="73">
        <v>0.115</v>
      </c>
      <c r="P79" s="73">
        <f t="shared" si="11"/>
        <v>0.23</v>
      </c>
      <c r="Q79" s="73">
        <v>0</v>
      </c>
      <c r="R79" s="73">
        <f t="shared" si="12"/>
        <v>0</v>
      </c>
      <c r="S79" s="73">
        <v>0</v>
      </c>
      <c r="T79" s="74">
        <f t="shared" si="13"/>
        <v>0</v>
      </c>
      <c r="AR79" s="75" t="s">
        <v>363</v>
      </c>
      <c r="AT79" s="75" t="s">
        <v>883</v>
      </c>
      <c r="AU79" s="75" t="s">
        <v>63</v>
      </c>
      <c r="AY79" s="47" t="s">
        <v>881</v>
      </c>
      <c r="BE79" s="76">
        <f t="shared" si="14"/>
        <v>0</v>
      </c>
      <c r="BF79" s="76">
        <f t="shared" si="15"/>
        <v>0</v>
      </c>
      <c r="BG79" s="76">
        <f t="shared" si="16"/>
        <v>0</v>
      </c>
      <c r="BH79" s="76">
        <f t="shared" si="17"/>
        <v>0</v>
      </c>
      <c r="BI79" s="76">
        <f t="shared" si="18"/>
        <v>0</v>
      </c>
      <c r="BJ79" s="47" t="s">
        <v>51</v>
      </c>
      <c r="BK79" s="76">
        <f t="shared" si="19"/>
        <v>0</v>
      </c>
      <c r="BL79" s="47" t="s">
        <v>363</v>
      </c>
      <c r="BM79" s="75" t="s">
        <v>1569</v>
      </c>
    </row>
    <row r="80" spans="3:65" s="48" customFormat="1" ht="21.75" customHeight="1">
      <c r="C80" s="79" t="s">
        <v>281</v>
      </c>
      <c r="D80" s="79" t="s">
        <v>883</v>
      </c>
      <c r="E80" s="80" t="s">
        <v>1570</v>
      </c>
      <c r="F80" s="81" t="s">
        <v>1571</v>
      </c>
      <c r="G80" s="82" t="s">
        <v>81</v>
      </c>
      <c r="H80" s="83">
        <v>5.284</v>
      </c>
      <c r="I80" s="527"/>
      <c r="J80" s="84">
        <f t="shared" si="10"/>
        <v>0</v>
      </c>
      <c r="K80" s="521"/>
      <c r="L80" s="533" t="s">
        <v>2474</v>
      </c>
      <c r="M80" s="530" t="s">
        <v>854</v>
      </c>
      <c r="N80" s="72" t="s">
        <v>860</v>
      </c>
      <c r="O80" s="73">
        <v>0.074</v>
      </c>
      <c r="P80" s="73">
        <f t="shared" si="11"/>
        <v>0.391016</v>
      </c>
      <c r="Q80" s="73">
        <v>0</v>
      </c>
      <c r="R80" s="73">
        <f t="shared" si="12"/>
        <v>0</v>
      </c>
      <c r="S80" s="73">
        <v>0</v>
      </c>
      <c r="T80" s="74">
        <f t="shared" si="13"/>
        <v>0</v>
      </c>
      <c r="AR80" s="75" t="s">
        <v>363</v>
      </c>
      <c r="AT80" s="75" t="s">
        <v>883</v>
      </c>
      <c r="AU80" s="75" t="s">
        <v>63</v>
      </c>
      <c r="AY80" s="47" t="s">
        <v>881</v>
      </c>
      <c r="BE80" s="76">
        <f t="shared" si="14"/>
        <v>0</v>
      </c>
      <c r="BF80" s="76">
        <f t="shared" si="15"/>
        <v>0</v>
      </c>
      <c r="BG80" s="76">
        <f t="shared" si="16"/>
        <v>0</v>
      </c>
      <c r="BH80" s="76">
        <f t="shared" si="17"/>
        <v>0</v>
      </c>
      <c r="BI80" s="76">
        <f t="shared" si="18"/>
        <v>0</v>
      </c>
      <c r="BJ80" s="47" t="s">
        <v>51</v>
      </c>
      <c r="BK80" s="76">
        <f t="shared" si="19"/>
        <v>0</v>
      </c>
      <c r="BL80" s="47" t="s">
        <v>363</v>
      </c>
      <c r="BM80" s="75" t="s">
        <v>1572</v>
      </c>
    </row>
    <row r="81" spans="4:51" s="95" customFormat="1" ht="10.2">
      <c r="D81" s="207" t="s">
        <v>1418</v>
      </c>
      <c r="E81" s="96" t="s">
        <v>854</v>
      </c>
      <c r="F81" s="208" t="s">
        <v>1573</v>
      </c>
      <c r="H81" s="209">
        <v>5.86</v>
      </c>
      <c r="T81" s="97"/>
      <c r="AT81" s="96" t="s">
        <v>1418</v>
      </c>
      <c r="AU81" s="96" t="s">
        <v>63</v>
      </c>
      <c r="AV81" s="95" t="s">
        <v>63</v>
      </c>
      <c r="AW81" s="95" t="s">
        <v>1420</v>
      </c>
      <c r="AX81" s="95" t="s">
        <v>880</v>
      </c>
      <c r="AY81" s="96" t="s">
        <v>881</v>
      </c>
    </row>
    <row r="82" spans="4:51" s="95" customFormat="1" ht="10.2">
      <c r="D82" s="207" t="s">
        <v>1418</v>
      </c>
      <c r="E82" s="96" t="s">
        <v>854</v>
      </c>
      <c r="F82" s="208" t="s">
        <v>1574</v>
      </c>
      <c r="H82" s="209">
        <v>-0.576</v>
      </c>
      <c r="T82" s="97"/>
      <c r="AT82" s="96" t="s">
        <v>1418</v>
      </c>
      <c r="AU82" s="96" t="s">
        <v>63</v>
      </c>
      <c r="AV82" s="95" t="s">
        <v>63</v>
      </c>
      <c r="AW82" s="95" t="s">
        <v>1420</v>
      </c>
      <c r="AX82" s="95" t="s">
        <v>880</v>
      </c>
      <c r="AY82" s="96" t="s">
        <v>881</v>
      </c>
    </row>
    <row r="83" spans="3:65" s="48" customFormat="1" ht="24.15" customHeight="1">
      <c r="C83" s="79" t="s">
        <v>290</v>
      </c>
      <c r="D83" s="79" t="s">
        <v>883</v>
      </c>
      <c r="E83" s="80" t="s">
        <v>1575</v>
      </c>
      <c r="F83" s="81" t="s">
        <v>1576</v>
      </c>
      <c r="G83" s="82" t="s">
        <v>81</v>
      </c>
      <c r="H83" s="83">
        <v>79.26</v>
      </c>
      <c r="I83" s="527"/>
      <c r="J83" s="84">
        <f>ROUND(I83*H83,2)</f>
        <v>0</v>
      </c>
      <c r="K83" s="521"/>
      <c r="L83" s="533" t="s">
        <v>2474</v>
      </c>
      <c r="M83" s="530" t="s">
        <v>854</v>
      </c>
      <c r="N83" s="72" t="s">
        <v>860</v>
      </c>
      <c r="O83" s="73">
        <v>0</v>
      </c>
      <c r="P83" s="73">
        <f>O83*H83</f>
        <v>0</v>
      </c>
      <c r="Q83" s="73">
        <v>0</v>
      </c>
      <c r="R83" s="73">
        <f>Q83*H83</f>
        <v>0</v>
      </c>
      <c r="S83" s="73">
        <v>0</v>
      </c>
      <c r="T83" s="74">
        <f>S83*H83</f>
        <v>0</v>
      </c>
      <c r="AR83" s="75" t="s">
        <v>363</v>
      </c>
      <c r="AT83" s="75" t="s">
        <v>883</v>
      </c>
      <c r="AU83" s="75" t="s">
        <v>63</v>
      </c>
      <c r="AY83" s="47" t="s">
        <v>881</v>
      </c>
      <c r="BE83" s="76">
        <f>IF(N83="základní",J83,0)</f>
        <v>0</v>
      </c>
      <c r="BF83" s="76">
        <f>IF(N83="snížená",J83,0)</f>
        <v>0</v>
      </c>
      <c r="BG83" s="76">
        <f>IF(N83="zákl. přenesená",J83,0)</f>
        <v>0</v>
      </c>
      <c r="BH83" s="76">
        <f>IF(N83="sníž. přenesená",J83,0)</f>
        <v>0</v>
      </c>
      <c r="BI83" s="76">
        <f>IF(N83="nulová",J83,0)</f>
        <v>0</v>
      </c>
      <c r="BJ83" s="47" t="s">
        <v>51</v>
      </c>
      <c r="BK83" s="76">
        <f>ROUND(I83*H83,2)</f>
        <v>0</v>
      </c>
      <c r="BL83" s="47" t="s">
        <v>363</v>
      </c>
      <c r="BM83" s="75" t="s">
        <v>1577</v>
      </c>
    </row>
    <row r="84" spans="4:51" s="95" customFormat="1" ht="10.2">
      <c r="D84" s="207" t="s">
        <v>1418</v>
      </c>
      <c r="E84" s="96" t="s">
        <v>854</v>
      </c>
      <c r="F84" s="208" t="s">
        <v>1578</v>
      </c>
      <c r="H84" s="209">
        <v>79.26</v>
      </c>
      <c r="T84" s="97"/>
      <c r="AT84" s="96" t="s">
        <v>1418</v>
      </c>
      <c r="AU84" s="96" t="s">
        <v>63</v>
      </c>
      <c r="AV84" s="95" t="s">
        <v>63</v>
      </c>
      <c r="AW84" s="95" t="s">
        <v>1420</v>
      </c>
      <c r="AX84" s="95" t="s">
        <v>51</v>
      </c>
      <c r="AY84" s="96" t="s">
        <v>881</v>
      </c>
    </row>
    <row r="85" spans="3:65" s="48" customFormat="1" ht="16.5" customHeight="1">
      <c r="C85" s="79" t="s">
        <v>296</v>
      </c>
      <c r="D85" s="79" t="s">
        <v>883</v>
      </c>
      <c r="E85" s="80" t="s">
        <v>1579</v>
      </c>
      <c r="F85" s="81" t="s">
        <v>1580</v>
      </c>
      <c r="G85" s="82" t="s">
        <v>125</v>
      </c>
      <c r="H85" s="83">
        <v>7.2</v>
      </c>
      <c r="I85" s="527"/>
      <c r="J85" s="84">
        <f>ROUND(I85*H85,2)</f>
        <v>0</v>
      </c>
      <c r="K85" s="521"/>
      <c r="L85" s="533" t="s">
        <v>2474</v>
      </c>
      <c r="M85" s="530" t="s">
        <v>854</v>
      </c>
      <c r="N85" s="72" t="s">
        <v>860</v>
      </c>
      <c r="O85" s="73">
        <v>0.49</v>
      </c>
      <c r="P85" s="73">
        <f>O85*H85</f>
        <v>3.528</v>
      </c>
      <c r="Q85" s="73">
        <v>0</v>
      </c>
      <c r="R85" s="73">
        <f>Q85*H85</f>
        <v>0</v>
      </c>
      <c r="S85" s="73">
        <v>0</v>
      </c>
      <c r="T85" s="74">
        <f>S85*H85</f>
        <v>0</v>
      </c>
      <c r="AR85" s="75" t="s">
        <v>363</v>
      </c>
      <c r="AT85" s="75" t="s">
        <v>883</v>
      </c>
      <c r="AU85" s="75" t="s">
        <v>63</v>
      </c>
      <c r="AY85" s="47" t="s">
        <v>881</v>
      </c>
      <c r="BE85" s="76">
        <f>IF(N85="základní",J85,0)</f>
        <v>0</v>
      </c>
      <c r="BF85" s="76">
        <f>IF(N85="snížená",J85,0)</f>
        <v>0</v>
      </c>
      <c r="BG85" s="76">
        <f>IF(N85="zákl. přenesená",J85,0)</f>
        <v>0</v>
      </c>
      <c r="BH85" s="76">
        <f>IF(N85="sníž. přenesená",J85,0)</f>
        <v>0</v>
      </c>
      <c r="BI85" s="76">
        <f>IF(N85="nulová",J85,0)</f>
        <v>0</v>
      </c>
      <c r="BJ85" s="47" t="s">
        <v>51</v>
      </c>
      <c r="BK85" s="76">
        <f>ROUND(I85*H85,2)</f>
        <v>0</v>
      </c>
      <c r="BL85" s="47" t="s">
        <v>363</v>
      </c>
      <c r="BM85" s="75" t="s">
        <v>1581</v>
      </c>
    </row>
    <row r="86" spans="4:51" s="95" customFormat="1" ht="10.2">
      <c r="D86" s="207" t="s">
        <v>1418</v>
      </c>
      <c r="E86" s="96" t="s">
        <v>854</v>
      </c>
      <c r="F86" s="208" t="s">
        <v>1582</v>
      </c>
      <c r="H86" s="209">
        <v>7.2</v>
      </c>
      <c r="T86" s="97"/>
      <c r="AT86" s="96" t="s">
        <v>1418</v>
      </c>
      <c r="AU86" s="96" t="s">
        <v>63</v>
      </c>
      <c r="AV86" s="95" t="s">
        <v>63</v>
      </c>
      <c r="AW86" s="95" t="s">
        <v>1420</v>
      </c>
      <c r="AX86" s="95" t="s">
        <v>880</v>
      </c>
      <c r="AY86" s="96" t="s">
        <v>881</v>
      </c>
    </row>
    <row r="87" spans="3:65" s="48" customFormat="1" ht="24.15" customHeight="1">
      <c r="C87" s="79" t="s">
        <v>305</v>
      </c>
      <c r="D87" s="79" t="s">
        <v>883</v>
      </c>
      <c r="E87" s="80" t="s">
        <v>1583</v>
      </c>
      <c r="F87" s="81" t="s">
        <v>1584</v>
      </c>
      <c r="G87" s="82" t="s">
        <v>125</v>
      </c>
      <c r="H87" s="83">
        <v>108</v>
      </c>
      <c r="I87" s="527"/>
      <c r="J87" s="84">
        <f>ROUND(I87*H87,2)</f>
        <v>0</v>
      </c>
      <c r="K87" s="521"/>
      <c r="L87" s="533" t="s">
        <v>2474</v>
      </c>
      <c r="M87" s="530" t="s">
        <v>854</v>
      </c>
      <c r="N87" s="72" t="s">
        <v>860</v>
      </c>
      <c r="O87" s="73">
        <v>0</v>
      </c>
      <c r="P87" s="73">
        <f>O87*H87</f>
        <v>0</v>
      </c>
      <c r="Q87" s="73">
        <v>0</v>
      </c>
      <c r="R87" s="73">
        <f>Q87*H87</f>
        <v>0</v>
      </c>
      <c r="S87" s="73">
        <v>0</v>
      </c>
      <c r="T87" s="74">
        <f>S87*H87</f>
        <v>0</v>
      </c>
      <c r="AR87" s="75" t="s">
        <v>363</v>
      </c>
      <c r="AT87" s="75" t="s">
        <v>883</v>
      </c>
      <c r="AU87" s="75" t="s">
        <v>63</v>
      </c>
      <c r="AY87" s="47" t="s">
        <v>881</v>
      </c>
      <c r="BE87" s="76">
        <f>IF(N87="základní",J87,0)</f>
        <v>0</v>
      </c>
      <c r="BF87" s="76">
        <f>IF(N87="snížená",J87,0)</f>
        <v>0</v>
      </c>
      <c r="BG87" s="76">
        <f>IF(N87="zákl. přenesená",J87,0)</f>
        <v>0</v>
      </c>
      <c r="BH87" s="76">
        <f>IF(N87="sníž. přenesená",J87,0)</f>
        <v>0</v>
      </c>
      <c r="BI87" s="76">
        <f>IF(N87="nulová",J87,0)</f>
        <v>0</v>
      </c>
      <c r="BJ87" s="47" t="s">
        <v>51</v>
      </c>
      <c r="BK87" s="76">
        <f>ROUND(I87*H87,2)</f>
        <v>0</v>
      </c>
      <c r="BL87" s="47" t="s">
        <v>363</v>
      </c>
      <c r="BM87" s="75" t="s">
        <v>1585</v>
      </c>
    </row>
    <row r="88" spans="4:51" s="95" customFormat="1" ht="10.2">
      <c r="D88" s="207" t="s">
        <v>1418</v>
      </c>
      <c r="E88" s="96" t="s">
        <v>854</v>
      </c>
      <c r="F88" s="208" t="s">
        <v>1586</v>
      </c>
      <c r="H88" s="209">
        <v>108</v>
      </c>
      <c r="T88" s="97"/>
      <c r="AT88" s="96" t="s">
        <v>1418</v>
      </c>
      <c r="AU88" s="96" t="s">
        <v>63</v>
      </c>
      <c r="AV88" s="95" t="s">
        <v>63</v>
      </c>
      <c r="AW88" s="95" t="s">
        <v>1420</v>
      </c>
      <c r="AX88" s="95" t="s">
        <v>51</v>
      </c>
      <c r="AY88" s="96" t="s">
        <v>881</v>
      </c>
    </row>
    <row r="89" spans="3:65" s="48" customFormat="1" ht="16.5" customHeight="1">
      <c r="C89" s="79" t="s">
        <v>232</v>
      </c>
      <c r="D89" s="79" t="s">
        <v>883</v>
      </c>
      <c r="E89" s="80" t="s">
        <v>1587</v>
      </c>
      <c r="F89" s="81" t="s">
        <v>124</v>
      </c>
      <c r="G89" s="82" t="s">
        <v>125</v>
      </c>
      <c r="H89" s="83">
        <v>8.454</v>
      </c>
      <c r="I89" s="527"/>
      <c r="J89" s="84">
        <f>ROUND(I89*H89,2)</f>
        <v>0</v>
      </c>
      <c r="K89" s="521"/>
      <c r="L89" s="533" t="s">
        <v>2130</v>
      </c>
      <c r="M89" s="530" t="s">
        <v>854</v>
      </c>
      <c r="N89" s="72" t="s">
        <v>860</v>
      </c>
      <c r="O89" s="73">
        <v>0</v>
      </c>
      <c r="P89" s="73">
        <f>O89*H89</f>
        <v>0</v>
      </c>
      <c r="Q89" s="73">
        <v>0</v>
      </c>
      <c r="R89" s="73">
        <f>Q89*H89</f>
        <v>0</v>
      </c>
      <c r="S89" s="73">
        <v>0</v>
      </c>
      <c r="T89" s="74">
        <f>S89*H89</f>
        <v>0</v>
      </c>
      <c r="AR89" s="75" t="s">
        <v>363</v>
      </c>
      <c r="AT89" s="75" t="s">
        <v>883</v>
      </c>
      <c r="AU89" s="75" t="s">
        <v>63</v>
      </c>
      <c r="AY89" s="47" t="s">
        <v>881</v>
      </c>
      <c r="BE89" s="76">
        <f>IF(N89="základní",J89,0)</f>
        <v>0</v>
      </c>
      <c r="BF89" s="76">
        <f>IF(N89="snížená",J89,0)</f>
        <v>0</v>
      </c>
      <c r="BG89" s="76">
        <f>IF(N89="zákl. přenesená",J89,0)</f>
        <v>0</v>
      </c>
      <c r="BH89" s="76">
        <f>IF(N89="sníž. přenesená",J89,0)</f>
        <v>0</v>
      </c>
      <c r="BI89" s="76">
        <f>IF(N89="nulová",J89,0)</f>
        <v>0</v>
      </c>
      <c r="BJ89" s="47" t="s">
        <v>51</v>
      </c>
      <c r="BK89" s="76">
        <f>ROUND(I89*H89,2)</f>
        <v>0</v>
      </c>
      <c r="BL89" s="47" t="s">
        <v>363</v>
      </c>
      <c r="BM89" s="75" t="s">
        <v>1588</v>
      </c>
    </row>
    <row r="90" spans="4:51" s="95" customFormat="1" ht="10.2">
      <c r="D90" s="207" t="s">
        <v>1418</v>
      </c>
      <c r="E90" s="96" t="s">
        <v>854</v>
      </c>
      <c r="F90" s="208" t="s">
        <v>1589</v>
      </c>
      <c r="H90" s="209">
        <v>8.454</v>
      </c>
      <c r="T90" s="97"/>
      <c r="AT90" s="96" t="s">
        <v>1418</v>
      </c>
      <c r="AU90" s="96" t="s">
        <v>63</v>
      </c>
      <c r="AV90" s="95" t="s">
        <v>63</v>
      </c>
      <c r="AW90" s="95" t="s">
        <v>1420</v>
      </c>
      <c r="AX90" s="95" t="s">
        <v>51</v>
      </c>
      <c r="AY90" s="96" t="s">
        <v>881</v>
      </c>
    </row>
    <row r="91" spans="3:65" s="48" customFormat="1" ht="16.5" customHeight="1">
      <c r="C91" s="79" t="s">
        <v>315</v>
      </c>
      <c r="D91" s="79" t="s">
        <v>883</v>
      </c>
      <c r="E91" s="80" t="s">
        <v>1590</v>
      </c>
      <c r="F91" s="81" t="s">
        <v>1591</v>
      </c>
      <c r="G91" s="82" t="s">
        <v>125</v>
      </c>
      <c r="H91" s="83">
        <v>7.2</v>
      </c>
      <c r="I91" s="527"/>
      <c r="J91" s="84">
        <f>ROUND(I91*H91,2)</f>
        <v>0</v>
      </c>
      <c r="K91" s="521"/>
      <c r="L91" s="533" t="s">
        <v>2130</v>
      </c>
      <c r="M91" s="530" t="s">
        <v>854</v>
      </c>
      <c r="N91" s="72" t="s">
        <v>860</v>
      </c>
      <c r="O91" s="73">
        <v>0</v>
      </c>
      <c r="P91" s="73">
        <f>O91*H91</f>
        <v>0</v>
      </c>
      <c r="Q91" s="73">
        <v>0</v>
      </c>
      <c r="R91" s="73">
        <f>Q91*H91</f>
        <v>0</v>
      </c>
      <c r="S91" s="73">
        <v>0</v>
      </c>
      <c r="T91" s="74">
        <f>S91*H91</f>
        <v>0</v>
      </c>
      <c r="AR91" s="75" t="s">
        <v>363</v>
      </c>
      <c r="AT91" s="75" t="s">
        <v>883</v>
      </c>
      <c r="AU91" s="75" t="s">
        <v>63</v>
      </c>
      <c r="AY91" s="47" t="s">
        <v>881</v>
      </c>
      <c r="BE91" s="76">
        <f>IF(N91="základní",J91,0)</f>
        <v>0</v>
      </c>
      <c r="BF91" s="76">
        <f>IF(N91="snížená",J91,0)</f>
        <v>0</v>
      </c>
      <c r="BG91" s="76">
        <f>IF(N91="zákl. přenesená",J91,0)</f>
        <v>0</v>
      </c>
      <c r="BH91" s="76">
        <f>IF(N91="sníž. přenesená",J91,0)</f>
        <v>0</v>
      </c>
      <c r="BI91" s="76">
        <f>IF(N91="nulová",J91,0)</f>
        <v>0</v>
      </c>
      <c r="BJ91" s="47" t="s">
        <v>51</v>
      </c>
      <c r="BK91" s="76">
        <f>ROUND(I91*H91,2)</f>
        <v>0</v>
      </c>
      <c r="BL91" s="47" t="s">
        <v>363</v>
      </c>
      <c r="BM91" s="75" t="s">
        <v>1592</v>
      </c>
    </row>
    <row r="92" spans="3:65" s="48" customFormat="1" ht="21.75" customHeight="1">
      <c r="C92" s="79" t="s">
        <v>319</v>
      </c>
      <c r="D92" s="79" t="s">
        <v>883</v>
      </c>
      <c r="E92" s="80" t="s">
        <v>1593</v>
      </c>
      <c r="F92" s="81" t="s">
        <v>1594</v>
      </c>
      <c r="G92" s="82" t="s">
        <v>54</v>
      </c>
      <c r="H92" s="83">
        <v>59.65</v>
      </c>
      <c r="I92" s="527"/>
      <c r="J92" s="84">
        <f>ROUND(I92*H92,2)</f>
        <v>0</v>
      </c>
      <c r="K92" s="521"/>
      <c r="L92" s="533" t="s">
        <v>2474</v>
      </c>
      <c r="M92" s="530" t="s">
        <v>854</v>
      </c>
      <c r="N92" s="72" t="s">
        <v>860</v>
      </c>
      <c r="O92" s="73">
        <v>0.101</v>
      </c>
      <c r="P92" s="73">
        <f>O92*H92</f>
        <v>6.02465</v>
      </c>
      <c r="Q92" s="73">
        <v>0</v>
      </c>
      <c r="R92" s="73">
        <f>Q92*H92</f>
        <v>0</v>
      </c>
      <c r="S92" s="73">
        <v>0</v>
      </c>
      <c r="T92" s="74">
        <f>S92*H92</f>
        <v>0</v>
      </c>
      <c r="AR92" s="75" t="s">
        <v>363</v>
      </c>
      <c r="AT92" s="75" t="s">
        <v>883</v>
      </c>
      <c r="AU92" s="75" t="s">
        <v>63</v>
      </c>
      <c r="AY92" s="47" t="s">
        <v>881</v>
      </c>
      <c r="BE92" s="76">
        <f>IF(N92="základní",J92,0)</f>
        <v>0</v>
      </c>
      <c r="BF92" s="76">
        <f>IF(N92="snížená",J92,0)</f>
        <v>0</v>
      </c>
      <c r="BG92" s="76">
        <f>IF(N92="zákl. přenesená",J92,0)</f>
        <v>0</v>
      </c>
      <c r="BH92" s="76">
        <f>IF(N92="sníž. přenesená",J92,0)</f>
        <v>0</v>
      </c>
      <c r="BI92" s="76">
        <f>IF(N92="nulová",J92,0)</f>
        <v>0</v>
      </c>
      <c r="BJ92" s="47" t="s">
        <v>51</v>
      </c>
      <c r="BK92" s="76">
        <f>ROUND(I92*H92,2)</f>
        <v>0</v>
      </c>
      <c r="BL92" s="47" t="s">
        <v>363</v>
      </c>
      <c r="BM92" s="75" t="s">
        <v>1595</v>
      </c>
    </row>
    <row r="93" spans="4:51" s="95" customFormat="1" ht="10.2">
      <c r="D93" s="207" t="s">
        <v>1418</v>
      </c>
      <c r="E93" s="96" t="s">
        <v>854</v>
      </c>
      <c r="F93" s="208" t="s">
        <v>1596</v>
      </c>
      <c r="H93" s="209">
        <v>59.65</v>
      </c>
      <c r="M93" s="98"/>
      <c r="N93" s="98"/>
      <c r="O93" s="98"/>
      <c r="P93" s="98"/>
      <c r="Q93" s="98"/>
      <c r="R93" s="98"/>
      <c r="S93" s="98"/>
      <c r="T93" s="99"/>
      <c r="AT93" s="96" t="s">
        <v>1418</v>
      </c>
      <c r="AU93" s="96" t="s">
        <v>63</v>
      </c>
      <c r="AV93" s="95" t="s">
        <v>63</v>
      </c>
      <c r="AW93" s="95" t="s">
        <v>1420</v>
      </c>
      <c r="AX93" s="95" t="s">
        <v>880</v>
      </c>
      <c r="AY93" s="96" t="s">
        <v>881</v>
      </c>
    </row>
    <row r="94" s="48" customFormat="1" ht="6.9" customHeight="1">
      <c r="K94" s="50"/>
    </row>
  </sheetData>
  <sheetProtection algorithmName="SHA-512" hashValue="MhlnttOpCmpzMme0wT2IuoKuzVbkBV0iRL545YE8AnXAzmNbPuEOe8aNu/YL7NPb31Ppjeb2OmZ6u1J9y4sn0w==" saltValue="kWUibKWNMUrazopvTwA39g==" spinCount="100000" sheet="1" objects="1" scenarios="1"/>
  <mergeCells count="2">
    <mergeCell ref="E6:H6"/>
    <mergeCell ref="E8:H8"/>
  </mergeCells>
  <printOptions horizontalCentered="1"/>
  <pageMargins left="0.7086614173228347" right="0.7086614173228347" top="0.7874015748031497" bottom="0.7874015748031497" header="0.31496062992125984" footer="0.31496062992125984"/>
  <pageSetup fitToHeight="100" fitToWidth="1" horizontalDpi="600" verticalDpi="600" orientation="portrait" paperSize="9" scale="75" r:id="rId1"/>
  <headerFooter>
    <oddFooter>&amp;CStrana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EF95-A3AD-456D-A84A-76F3E2041A85}">
  <sheetPr>
    <pageSetUpPr fitToPage="1"/>
  </sheetPr>
  <dimension ref="C2:BM39"/>
  <sheetViews>
    <sheetView showGridLines="0" view="pageBreakPreview" zoomScaleSheetLayoutView="100" workbookViewId="0" topLeftCell="A13">
      <selection activeCell="F18" sqref="F18"/>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9.14062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93" width="9.140625" style="0" hidden="1"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1597</v>
      </c>
      <c r="F6" s="646"/>
      <c r="G6" s="646"/>
      <c r="H6" s="646"/>
    </row>
    <row r="7" s="48" customFormat="1" ht="12" customHeight="1">
      <c r="C7" s="197" t="s">
        <v>852</v>
      </c>
    </row>
    <row r="8" spans="5:8" s="48" customFormat="1" ht="30" customHeight="1">
      <c r="E8" s="647" t="s">
        <v>1598</v>
      </c>
      <c r="F8" s="648"/>
      <c r="G8" s="648"/>
      <c r="H8" s="648"/>
    </row>
    <row r="9" s="48" customFormat="1" ht="6.9" customHeight="1"/>
    <row r="10" spans="3:10" s="48" customFormat="1" ht="12" customHeight="1">
      <c r="C10" s="197" t="s">
        <v>855</v>
      </c>
      <c r="F10" s="198" t="s">
        <v>1410</v>
      </c>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35"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P17+P29</f>
        <v>11.861168</v>
      </c>
      <c r="Q16" s="49"/>
      <c r="R16" s="61">
        <f>R17+R29</f>
        <v>1.7418391199999999</v>
      </c>
      <c r="S16" s="49"/>
      <c r="T16" s="62">
        <f>T17+T29</f>
        <v>0</v>
      </c>
      <c r="AT16" s="47" t="s">
        <v>877</v>
      </c>
      <c r="AU16" s="47" t="s">
        <v>863</v>
      </c>
      <c r="BK16" s="63">
        <f>BK17+BK29</f>
        <v>0</v>
      </c>
    </row>
    <row r="17" spans="4:63" s="64" customFormat="1" ht="25.95" customHeight="1">
      <c r="D17" s="65" t="s">
        <v>877</v>
      </c>
      <c r="E17" s="203" t="s">
        <v>1456</v>
      </c>
      <c r="F17" s="203" t="s">
        <v>1457</v>
      </c>
      <c r="J17" s="204">
        <f>BK17</f>
        <v>0</v>
      </c>
      <c r="P17" s="67">
        <f>SUM(P18:P28)</f>
        <v>8.224</v>
      </c>
      <c r="R17" s="67">
        <f>SUM(R18:R28)</f>
        <v>0.008969999999999999</v>
      </c>
      <c r="T17" s="68">
        <f>SUM(T18:T28)</f>
        <v>0</v>
      </c>
      <c r="AR17" s="65" t="s">
        <v>67</v>
      </c>
      <c r="AT17" s="69" t="s">
        <v>877</v>
      </c>
      <c r="AU17" s="69" t="s">
        <v>880</v>
      </c>
      <c r="AY17" s="65" t="s">
        <v>881</v>
      </c>
      <c r="BK17" s="70">
        <f>SUM(BK18:BK28)</f>
        <v>0</v>
      </c>
    </row>
    <row r="18" spans="3:65" s="48" customFormat="1" ht="24.15" customHeight="1">
      <c r="C18" s="79" t="s">
        <v>51</v>
      </c>
      <c r="D18" s="79" t="s">
        <v>883</v>
      </c>
      <c r="E18" s="80" t="s">
        <v>1458</v>
      </c>
      <c r="F18" s="81" t="s">
        <v>1459</v>
      </c>
      <c r="G18" s="82" t="s">
        <v>260</v>
      </c>
      <c r="H18" s="83">
        <v>1</v>
      </c>
      <c r="I18" s="527"/>
      <c r="J18" s="84">
        <f aca="true" t="shared" si="0" ref="J18:J28">ROUND(I18*H18,2)</f>
        <v>0</v>
      </c>
      <c r="K18" s="521"/>
      <c r="L18" s="533" t="s">
        <v>2474</v>
      </c>
      <c r="M18" s="530" t="s">
        <v>854</v>
      </c>
      <c r="N18" s="72" t="s">
        <v>860</v>
      </c>
      <c r="O18" s="73">
        <v>0.718</v>
      </c>
      <c r="P18" s="73">
        <f aca="true" t="shared" si="1" ref="P18:P28">O18*H18</f>
        <v>0.718</v>
      </c>
      <c r="Q18" s="73">
        <v>0</v>
      </c>
      <c r="R18" s="73">
        <f aca="true" t="shared" si="2" ref="R18:R28">Q18*H18</f>
        <v>0</v>
      </c>
      <c r="S18" s="73">
        <v>0</v>
      </c>
      <c r="T18" s="74">
        <f aca="true" t="shared" si="3" ref="T18:T28">S18*H18</f>
        <v>0</v>
      </c>
      <c r="AR18" s="75" t="s">
        <v>363</v>
      </c>
      <c r="AT18" s="75" t="s">
        <v>883</v>
      </c>
      <c r="AU18" s="75" t="s">
        <v>51</v>
      </c>
      <c r="AY18" s="47" t="s">
        <v>881</v>
      </c>
      <c r="BE18" s="76">
        <f aca="true" t="shared" si="4" ref="BE18:BE28">IF(N18="základní",J18,0)</f>
        <v>0</v>
      </c>
      <c r="BF18" s="76">
        <f aca="true" t="shared" si="5" ref="BF18:BF28">IF(N18="snížená",J18,0)</f>
        <v>0</v>
      </c>
      <c r="BG18" s="76">
        <f aca="true" t="shared" si="6" ref="BG18:BG28">IF(N18="zákl. přenesená",J18,0)</f>
        <v>0</v>
      </c>
      <c r="BH18" s="76">
        <f aca="true" t="shared" si="7" ref="BH18:BH28">IF(N18="sníž. přenesená",J18,0)</f>
        <v>0</v>
      </c>
      <c r="BI18" s="76">
        <f aca="true" t="shared" si="8" ref="BI18:BI28">IF(N18="nulová",J18,0)</f>
        <v>0</v>
      </c>
      <c r="BJ18" s="47" t="s">
        <v>51</v>
      </c>
      <c r="BK18" s="76">
        <f aca="true" t="shared" si="9" ref="BK18:BK28">ROUND(I18*H18,2)</f>
        <v>0</v>
      </c>
      <c r="BL18" s="47" t="s">
        <v>363</v>
      </c>
      <c r="BM18" s="75" t="s">
        <v>1460</v>
      </c>
    </row>
    <row r="19" spans="3:65" s="48" customFormat="1" ht="16.5" customHeight="1">
      <c r="C19" s="85" t="s">
        <v>63</v>
      </c>
      <c r="D19" s="85" t="s">
        <v>201</v>
      </c>
      <c r="E19" s="86" t="s">
        <v>1599</v>
      </c>
      <c r="F19" s="87" t="s">
        <v>1600</v>
      </c>
      <c r="G19" s="88" t="s">
        <v>260</v>
      </c>
      <c r="H19" s="89">
        <v>1</v>
      </c>
      <c r="I19" s="528"/>
      <c r="J19" s="90">
        <f t="shared" si="0"/>
        <v>0</v>
      </c>
      <c r="K19" s="522"/>
      <c r="L19" s="533" t="s">
        <v>2130</v>
      </c>
      <c r="M19" s="531" t="s">
        <v>854</v>
      </c>
      <c r="N19" s="78" t="s">
        <v>860</v>
      </c>
      <c r="O19" s="73">
        <v>0</v>
      </c>
      <c r="P19" s="73">
        <f t="shared" si="1"/>
        <v>0</v>
      </c>
      <c r="Q19" s="73">
        <v>0.0075</v>
      </c>
      <c r="R19" s="73">
        <f t="shared" si="2"/>
        <v>0.0075</v>
      </c>
      <c r="S19" s="73">
        <v>0</v>
      </c>
      <c r="T19" s="74">
        <f t="shared" si="3"/>
        <v>0</v>
      </c>
      <c r="AR19" s="75" t="s">
        <v>1470</v>
      </c>
      <c r="AT19" s="75" t="s">
        <v>201</v>
      </c>
      <c r="AU19" s="75" t="s">
        <v>51</v>
      </c>
      <c r="AY19" s="47" t="s">
        <v>881</v>
      </c>
      <c r="BE19" s="76">
        <f t="shared" si="4"/>
        <v>0</v>
      </c>
      <c r="BF19" s="76">
        <f t="shared" si="5"/>
        <v>0</v>
      </c>
      <c r="BG19" s="76">
        <f t="shared" si="6"/>
        <v>0</v>
      </c>
      <c r="BH19" s="76">
        <f t="shared" si="7"/>
        <v>0</v>
      </c>
      <c r="BI19" s="76">
        <f t="shared" si="8"/>
        <v>0</v>
      </c>
      <c r="BJ19" s="47" t="s">
        <v>51</v>
      </c>
      <c r="BK19" s="76">
        <f t="shared" si="9"/>
        <v>0</v>
      </c>
      <c r="BL19" s="47" t="s">
        <v>1470</v>
      </c>
      <c r="BM19" s="75" t="s">
        <v>1601</v>
      </c>
    </row>
    <row r="20" spans="3:65" s="48" customFormat="1" ht="24.15" customHeight="1">
      <c r="C20" s="79" t="s">
        <v>67</v>
      </c>
      <c r="D20" s="79" t="s">
        <v>883</v>
      </c>
      <c r="E20" s="80" t="s">
        <v>1464</v>
      </c>
      <c r="F20" s="81" t="s">
        <v>1465</v>
      </c>
      <c r="G20" s="82" t="s">
        <v>260</v>
      </c>
      <c r="H20" s="83">
        <v>1</v>
      </c>
      <c r="I20" s="527"/>
      <c r="J20" s="84">
        <f t="shared" si="0"/>
        <v>0</v>
      </c>
      <c r="K20" s="521"/>
      <c r="L20" s="533" t="s">
        <v>2474</v>
      </c>
      <c r="M20" s="530" t="s">
        <v>854</v>
      </c>
      <c r="N20" s="72" t="s">
        <v>860</v>
      </c>
      <c r="O20" s="73">
        <v>3.813</v>
      </c>
      <c r="P20" s="73">
        <f t="shared" si="1"/>
        <v>3.813</v>
      </c>
      <c r="Q20" s="73">
        <v>0</v>
      </c>
      <c r="R20" s="73">
        <f t="shared" si="2"/>
        <v>0</v>
      </c>
      <c r="S20" s="73">
        <v>0</v>
      </c>
      <c r="T20" s="74">
        <f t="shared" si="3"/>
        <v>0</v>
      </c>
      <c r="AR20" s="75" t="s">
        <v>363</v>
      </c>
      <c r="AT20" s="75" t="s">
        <v>883</v>
      </c>
      <c r="AU20" s="75" t="s">
        <v>51</v>
      </c>
      <c r="AY20" s="47" t="s">
        <v>881</v>
      </c>
      <c r="BE20" s="76">
        <f t="shared" si="4"/>
        <v>0</v>
      </c>
      <c r="BF20" s="76">
        <f t="shared" si="5"/>
        <v>0</v>
      </c>
      <c r="BG20" s="76">
        <f t="shared" si="6"/>
        <v>0</v>
      </c>
      <c r="BH20" s="76">
        <f t="shared" si="7"/>
        <v>0</v>
      </c>
      <c r="BI20" s="76">
        <f t="shared" si="8"/>
        <v>0</v>
      </c>
      <c r="BJ20" s="47" t="s">
        <v>51</v>
      </c>
      <c r="BK20" s="76">
        <f t="shared" si="9"/>
        <v>0</v>
      </c>
      <c r="BL20" s="47" t="s">
        <v>363</v>
      </c>
      <c r="BM20" s="75" t="s">
        <v>1466</v>
      </c>
    </row>
    <row r="21" spans="3:65" s="48" customFormat="1" ht="24.15" customHeight="1">
      <c r="C21" s="85" t="s">
        <v>71</v>
      </c>
      <c r="D21" s="85" t="s">
        <v>201</v>
      </c>
      <c r="E21" s="86" t="s">
        <v>1467</v>
      </c>
      <c r="F21" s="87" t="s">
        <v>1468</v>
      </c>
      <c r="G21" s="88" t="s">
        <v>1469</v>
      </c>
      <c r="H21" s="89">
        <v>1</v>
      </c>
      <c r="I21" s="528"/>
      <c r="J21" s="90">
        <f t="shared" si="0"/>
        <v>0</v>
      </c>
      <c r="K21" s="522"/>
      <c r="L21" s="533" t="s">
        <v>2474</v>
      </c>
      <c r="M21" s="531" t="s">
        <v>854</v>
      </c>
      <c r="N21" s="78" t="s">
        <v>860</v>
      </c>
      <c r="O21" s="73">
        <v>0</v>
      </c>
      <c r="P21" s="73">
        <f t="shared" si="1"/>
        <v>0</v>
      </c>
      <c r="Q21" s="73">
        <v>0</v>
      </c>
      <c r="R21" s="73">
        <f t="shared" si="2"/>
        <v>0</v>
      </c>
      <c r="S21" s="73">
        <v>0</v>
      </c>
      <c r="T21" s="74">
        <f t="shared" si="3"/>
        <v>0</v>
      </c>
      <c r="AR21" s="75" t="s">
        <v>1470</v>
      </c>
      <c r="AT21" s="75" t="s">
        <v>201</v>
      </c>
      <c r="AU21" s="75" t="s">
        <v>51</v>
      </c>
      <c r="AY21" s="47" t="s">
        <v>881</v>
      </c>
      <c r="BE21" s="76">
        <f t="shared" si="4"/>
        <v>0</v>
      </c>
      <c r="BF21" s="76">
        <f t="shared" si="5"/>
        <v>0</v>
      </c>
      <c r="BG21" s="76">
        <f t="shared" si="6"/>
        <v>0</v>
      </c>
      <c r="BH21" s="76">
        <f t="shared" si="7"/>
        <v>0</v>
      </c>
      <c r="BI21" s="76">
        <f t="shared" si="8"/>
        <v>0</v>
      </c>
      <c r="BJ21" s="47" t="s">
        <v>51</v>
      </c>
      <c r="BK21" s="76">
        <f t="shared" si="9"/>
        <v>0</v>
      </c>
      <c r="BL21" s="47" t="s">
        <v>1470</v>
      </c>
      <c r="BM21" s="75" t="s">
        <v>1471</v>
      </c>
    </row>
    <row r="22" spans="3:65" s="48" customFormat="1" ht="24.15" customHeight="1">
      <c r="C22" s="79" t="s">
        <v>78</v>
      </c>
      <c r="D22" s="79" t="s">
        <v>883</v>
      </c>
      <c r="E22" s="80" t="s">
        <v>1475</v>
      </c>
      <c r="F22" s="81" t="s">
        <v>1476</v>
      </c>
      <c r="G22" s="82" t="s">
        <v>260</v>
      </c>
      <c r="H22" s="83">
        <v>1</v>
      </c>
      <c r="I22" s="527"/>
      <c r="J22" s="84">
        <f t="shared" si="0"/>
        <v>0</v>
      </c>
      <c r="K22" s="521"/>
      <c r="L22" s="533" t="s">
        <v>2474</v>
      </c>
      <c r="M22" s="530" t="s">
        <v>854</v>
      </c>
      <c r="N22" s="72" t="s">
        <v>860</v>
      </c>
      <c r="O22" s="73">
        <v>2.3</v>
      </c>
      <c r="P22" s="73">
        <f t="shared" si="1"/>
        <v>2.3</v>
      </c>
      <c r="Q22" s="73">
        <v>0</v>
      </c>
      <c r="R22" s="73">
        <f t="shared" si="2"/>
        <v>0</v>
      </c>
      <c r="S22" s="73">
        <v>0</v>
      </c>
      <c r="T22" s="74">
        <f t="shared" si="3"/>
        <v>0</v>
      </c>
      <c r="AR22" s="75" t="s">
        <v>363</v>
      </c>
      <c r="AT22" s="75" t="s">
        <v>883</v>
      </c>
      <c r="AU22" s="75" t="s">
        <v>51</v>
      </c>
      <c r="AY22" s="47" t="s">
        <v>881</v>
      </c>
      <c r="BE22" s="76">
        <f t="shared" si="4"/>
        <v>0</v>
      </c>
      <c r="BF22" s="76">
        <f t="shared" si="5"/>
        <v>0</v>
      </c>
      <c r="BG22" s="76">
        <f t="shared" si="6"/>
        <v>0</v>
      </c>
      <c r="BH22" s="76">
        <f t="shared" si="7"/>
        <v>0</v>
      </c>
      <c r="BI22" s="76">
        <f t="shared" si="8"/>
        <v>0</v>
      </c>
      <c r="BJ22" s="47" t="s">
        <v>51</v>
      </c>
      <c r="BK22" s="76">
        <f t="shared" si="9"/>
        <v>0</v>
      </c>
      <c r="BL22" s="47" t="s">
        <v>363</v>
      </c>
      <c r="BM22" s="75" t="s">
        <v>1477</v>
      </c>
    </row>
    <row r="23" spans="3:65" s="48" customFormat="1" ht="24.15" customHeight="1">
      <c r="C23" s="85" t="s">
        <v>85</v>
      </c>
      <c r="D23" s="85" t="s">
        <v>201</v>
      </c>
      <c r="E23" s="86" t="s">
        <v>1478</v>
      </c>
      <c r="F23" s="87" t="s">
        <v>1479</v>
      </c>
      <c r="G23" s="88" t="s">
        <v>1469</v>
      </c>
      <c r="H23" s="89">
        <v>1</v>
      </c>
      <c r="I23" s="528"/>
      <c r="J23" s="90">
        <f t="shared" si="0"/>
        <v>0</v>
      </c>
      <c r="K23" s="522"/>
      <c r="L23" s="533" t="s">
        <v>2474</v>
      </c>
      <c r="M23" s="531" t="s">
        <v>854</v>
      </c>
      <c r="N23" s="78" t="s">
        <v>860</v>
      </c>
      <c r="O23" s="73">
        <v>0</v>
      </c>
      <c r="P23" s="73">
        <f t="shared" si="1"/>
        <v>0</v>
      </c>
      <c r="Q23" s="73">
        <v>0</v>
      </c>
      <c r="R23" s="73">
        <f t="shared" si="2"/>
        <v>0</v>
      </c>
      <c r="S23" s="73">
        <v>0</v>
      </c>
      <c r="T23" s="74">
        <f t="shared" si="3"/>
        <v>0</v>
      </c>
      <c r="AR23" s="75" t="s">
        <v>1444</v>
      </c>
      <c r="AT23" s="75" t="s">
        <v>201</v>
      </c>
      <c r="AU23" s="75" t="s">
        <v>51</v>
      </c>
      <c r="AY23" s="47" t="s">
        <v>881</v>
      </c>
      <c r="BE23" s="76">
        <f t="shared" si="4"/>
        <v>0</v>
      </c>
      <c r="BF23" s="76">
        <f t="shared" si="5"/>
        <v>0</v>
      </c>
      <c r="BG23" s="76">
        <f t="shared" si="6"/>
        <v>0</v>
      </c>
      <c r="BH23" s="76">
        <f t="shared" si="7"/>
        <v>0</v>
      </c>
      <c r="BI23" s="76">
        <f t="shared" si="8"/>
        <v>0</v>
      </c>
      <c r="BJ23" s="47" t="s">
        <v>51</v>
      </c>
      <c r="BK23" s="76">
        <f t="shared" si="9"/>
        <v>0</v>
      </c>
      <c r="BL23" s="47" t="s">
        <v>363</v>
      </c>
      <c r="BM23" s="75" t="s">
        <v>1480</v>
      </c>
    </row>
    <row r="24" spans="3:65" s="48" customFormat="1" ht="16.5" customHeight="1">
      <c r="C24" s="79" t="s">
        <v>89</v>
      </c>
      <c r="D24" s="79" t="s">
        <v>883</v>
      </c>
      <c r="E24" s="80" t="s">
        <v>1484</v>
      </c>
      <c r="F24" s="81" t="s">
        <v>1485</v>
      </c>
      <c r="G24" s="82" t="s">
        <v>260</v>
      </c>
      <c r="H24" s="83">
        <v>1</v>
      </c>
      <c r="I24" s="527"/>
      <c r="J24" s="84">
        <f t="shared" si="0"/>
        <v>0</v>
      </c>
      <c r="K24" s="521"/>
      <c r="L24" s="533" t="s">
        <v>2474</v>
      </c>
      <c r="M24" s="530" t="s">
        <v>854</v>
      </c>
      <c r="N24" s="72" t="s">
        <v>860</v>
      </c>
      <c r="O24" s="73">
        <v>1.367</v>
      </c>
      <c r="P24" s="73">
        <f t="shared" si="1"/>
        <v>1.367</v>
      </c>
      <c r="Q24" s="73">
        <v>0</v>
      </c>
      <c r="R24" s="73">
        <f t="shared" si="2"/>
        <v>0</v>
      </c>
      <c r="S24" s="73">
        <v>0</v>
      </c>
      <c r="T24" s="74">
        <f t="shared" si="3"/>
        <v>0</v>
      </c>
      <c r="AR24" s="75" t="s">
        <v>363</v>
      </c>
      <c r="AT24" s="75" t="s">
        <v>883</v>
      </c>
      <c r="AU24" s="75" t="s">
        <v>51</v>
      </c>
      <c r="AY24" s="47" t="s">
        <v>881</v>
      </c>
      <c r="BE24" s="76">
        <f t="shared" si="4"/>
        <v>0</v>
      </c>
      <c r="BF24" s="76">
        <f t="shared" si="5"/>
        <v>0</v>
      </c>
      <c r="BG24" s="76">
        <f t="shared" si="6"/>
        <v>0</v>
      </c>
      <c r="BH24" s="76">
        <f t="shared" si="7"/>
        <v>0</v>
      </c>
      <c r="BI24" s="76">
        <f t="shared" si="8"/>
        <v>0</v>
      </c>
      <c r="BJ24" s="47" t="s">
        <v>51</v>
      </c>
      <c r="BK24" s="76">
        <f t="shared" si="9"/>
        <v>0</v>
      </c>
      <c r="BL24" s="47" t="s">
        <v>363</v>
      </c>
      <c r="BM24" s="75" t="s">
        <v>1486</v>
      </c>
    </row>
    <row r="25" spans="3:65" s="48" customFormat="1" ht="24.15" customHeight="1">
      <c r="C25" s="85" t="s">
        <v>94</v>
      </c>
      <c r="D25" s="85" t="s">
        <v>201</v>
      </c>
      <c r="E25" s="86" t="s">
        <v>1487</v>
      </c>
      <c r="F25" s="87" t="s">
        <v>1488</v>
      </c>
      <c r="G25" s="88" t="s">
        <v>1469</v>
      </c>
      <c r="H25" s="89">
        <v>1</v>
      </c>
      <c r="I25" s="528"/>
      <c r="J25" s="90">
        <f t="shared" si="0"/>
        <v>0</v>
      </c>
      <c r="K25" s="522"/>
      <c r="L25" s="533" t="s">
        <v>2130</v>
      </c>
      <c r="M25" s="531" t="s">
        <v>854</v>
      </c>
      <c r="N25" s="78" t="s">
        <v>860</v>
      </c>
      <c r="O25" s="73">
        <v>0</v>
      </c>
      <c r="P25" s="73">
        <f t="shared" si="1"/>
        <v>0</v>
      </c>
      <c r="Q25" s="73">
        <v>0</v>
      </c>
      <c r="R25" s="73">
        <f t="shared" si="2"/>
        <v>0</v>
      </c>
      <c r="S25" s="73">
        <v>0</v>
      </c>
      <c r="T25" s="74">
        <f t="shared" si="3"/>
        <v>0</v>
      </c>
      <c r="AR25" s="75" t="s">
        <v>1444</v>
      </c>
      <c r="AT25" s="75" t="s">
        <v>201</v>
      </c>
      <c r="AU25" s="75" t="s">
        <v>51</v>
      </c>
      <c r="AY25" s="47" t="s">
        <v>881</v>
      </c>
      <c r="BE25" s="76">
        <f t="shared" si="4"/>
        <v>0</v>
      </c>
      <c r="BF25" s="76">
        <f t="shared" si="5"/>
        <v>0</v>
      </c>
      <c r="BG25" s="76">
        <f t="shared" si="6"/>
        <v>0</v>
      </c>
      <c r="BH25" s="76">
        <f t="shared" si="7"/>
        <v>0</v>
      </c>
      <c r="BI25" s="76">
        <f t="shared" si="8"/>
        <v>0</v>
      </c>
      <c r="BJ25" s="47" t="s">
        <v>51</v>
      </c>
      <c r="BK25" s="76">
        <f t="shared" si="9"/>
        <v>0</v>
      </c>
      <c r="BL25" s="47" t="s">
        <v>363</v>
      </c>
      <c r="BM25" s="75" t="s">
        <v>1489</v>
      </c>
    </row>
    <row r="26" spans="3:65" s="48" customFormat="1" ht="16.5" customHeight="1">
      <c r="C26" s="85" t="s">
        <v>98</v>
      </c>
      <c r="D26" s="85" t="s">
        <v>201</v>
      </c>
      <c r="E26" s="86" t="s">
        <v>1490</v>
      </c>
      <c r="F26" s="87" t="s">
        <v>1491</v>
      </c>
      <c r="G26" s="88" t="s">
        <v>260</v>
      </c>
      <c r="H26" s="89">
        <v>1</v>
      </c>
      <c r="I26" s="528"/>
      <c r="J26" s="90">
        <f t="shared" si="0"/>
        <v>0</v>
      </c>
      <c r="K26" s="522"/>
      <c r="L26" s="533" t="s">
        <v>2474</v>
      </c>
      <c r="M26" s="531" t="s">
        <v>854</v>
      </c>
      <c r="N26" s="78" t="s">
        <v>860</v>
      </c>
      <c r="O26" s="73">
        <v>0</v>
      </c>
      <c r="P26" s="73">
        <f t="shared" si="1"/>
        <v>0</v>
      </c>
      <c r="Q26" s="73">
        <v>3E-05</v>
      </c>
      <c r="R26" s="73">
        <f t="shared" si="2"/>
        <v>3E-05</v>
      </c>
      <c r="S26" s="73">
        <v>0</v>
      </c>
      <c r="T26" s="74">
        <f t="shared" si="3"/>
        <v>0</v>
      </c>
      <c r="AR26" s="75" t="s">
        <v>1444</v>
      </c>
      <c r="AT26" s="75" t="s">
        <v>201</v>
      </c>
      <c r="AU26" s="75" t="s">
        <v>51</v>
      </c>
      <c r="AY26" s="47" t="s">
        <v>881</v>
      </c>
      <c r="BE26" s="76">
        <f t="shared" si="4"/>
        <v>0</v>
      </c>
      <c r="BF26" s="76">
        <f t="shared" si="5"/>
        <v>0</v>
      </c>
      <c r="BG26" s="76">
        <f t="shared" si="6"/>
        <v>0</v>
      </c>
      <c r="BH26" s="76">
        <f t="shared" si="7"/>
        <v>0</v>
      </c>
      <c r="BI26" s="76">
        <f t="shared" si="8"/>
        <v>0</v>
      </c>
      <c r="BJ26" s="47" t="s">
        <v>51</v>
      </c>
      <c r="BK26" s="76">
        <f t="shared" si="9"/>
        <v>0</v>
      </c>
      <c r="BL26" s="47" t="s">
        <v>363</v>
      </c>
      <c r="BM26" s="75" t="s">
        <v>1492</v>
      </c>
    </row>
    <row r="27" spans="3:65" s="48" customFormat="1" ht="16.5" customHeight="1">
      <c r="C27" s="85" t="s">
        <v>104</v>
      </c>
      <c r="D27" s="85" t="s">
        <v>201</v>
      </c>
      <c r="E27" s="86" t="s">
        <v>1493</v>
      </c>
      <c r="F27" s="87" t="s">
        <v>1494</v>
      </c>
      <c r="G27" s="88" t="s">
        <v>74</v>
      </c>
      <c r="H27" s="89">
        <v>12</v>
      </c>
      <c r="I27" s="528"/>
      <c r="J27" s="90">
        <f t="shared" si="0"/>
        <v>0</v>
      </c>
      <c r="K27" s="522"/>
      <c r="L27" s="533" t="s">
        <v>2474</v>
      </c>
      <c r="M27" s="531" t="s">
        <v>854</v>
      </c>
      <c r="N27" s="78" t="s">
        <v>860</v>
      </c>
      <c r="O27" s="73">
        <v>0</v>
      </c>
      <c r="P27" s="73">
        <f t="shared" si="1"/>
        <v>0</v>
      </c>
      <c r="Q27" s="73">
        <v>0.00012</v>
      </c>
      <c r="R27" s="73">
        <f t="shared" si="2"/>
        <v>0.00144</v>
      </c>
      <c r="S27" s="73">
        <v>0</v>
      </c>
      <c r="T27" s="74">
        <f t="shared" si="3"/>
        <v>0</v>
      </c>
      <c r="AR27" s="75" t="s">
        <v>1444</v>
      </c>
      <c r="AT27" s="75" t="s">
        <v>201</v>
      </c>
      <c r="AU27" s="75" t="s">
        <v>51</v>
      </c>
      <c r="AY27" s="47" t="s">
        <v>881</v>
      </c>
      <c r="BE27" s="76">
        <f t="shared" si="4"/>
        <v>0</v>
      </c>
      <c r="BF27" s="76">
        <f t="shared" si="5"/>
        <v>0</v>
      </c>
      <c r="BG27" s="76">
        <f t="shared" si="6"/>
        <v>0</v>
      </c>
      <c r="BH27" s="76">
        <f t="shared" si="7"/>
        <v>0</v>
      </c>
      <c r="BI27" s="76">
        <f t="shared" si="8"/>
        <v>0</v>
      </c>
      <c r="BJ27" s="47" t="s">
        <v>51</v>
      </c>
      <c r="BK27" s="76">
        <f t="shared" si="9"/>
        <v>0</v>
      </c>
      <c r="BL27" s="47" t="s">
        <v>363</v>
      </c>
      <c r="BM27" s="75" t="s">
        <v>1495</v>
      </c>
    </row>
    <row r="28" spans="3:65" s="48" customFormat="1" ht="21.75" customHeight="1">
      <c r="C28" s="79" t="s">
        <v>49</v>
      </c>
      <c r="D28" s="79" t="s">
        <v>883</v>
      </c>
      <c r="E28" s="80" t="s">
        <v>1501</v>
      </c>
      <c r="F28" s="81" t="s">
        <v>1502</v>
      </c>
      <c r="G28" s="82" t="s">
        <v>260</v>
      </c>
      <c r="H28" s="83">
        <v>1</v>
      </c>
      <c r="I28" s="527"/>
      <c r="J28" s="84">
        <f t="shared" si="0"/>
        <v>0</v>
      </c>
      <c r="K28" s="521"/>
      <c r="L28" s="533" t="s">
        <v>2130</v>
      </c>
      <c r="M28" s="530" t="s">
        <v>854</v>
      </c>
      <c r="N28" s="72" t="s">
        <v>860</v>
      </c>
      <c r="O28" s="73">
        <v>0.026</v>
      </c>
      <c r="P28" s="73">
        <f t="shared" si="1"/>
        <v>0.026</v>
      </c>
      <c r="Q28" s="73">
        <v>0</v>
      </c>
      <c r="R28" s="73">
        <f t="shared" si="2"/>
        <v>0</v>
      </c>
      <c r="S28" s="73">
        <v>0</v>
      </c>
      <c r="T28" s="74">
        <f t="shared" si="3"/>
        <v>0</v>
      </c>
      <c r="AR28" s="75" t="s">
        <v>363</v>
      </c>
      <c r="AT28" s="75" t="s">
        <v>883</v>
      </c>
      <c r="AU28" s="75" t="s">
        <v>51</v>
      </c>
      <c r="AY28" s="47" t="s">
        <v>881</v>
      </c>
      <c r="BE28" s="76">
        <f t="shared" si="4"/>
        <v>0</v>
      </c>
      <c r="BF28" s="76">
        <f t="shared" si="5"/>
        <v>0</v>
      </c>
      <c r="BG28" s="76">
        <f t="shared" si="6"/>
        <v>0</v>
      </c>
      <c r="BH28" s="76">
        <f t="shared" si="7"/>
        <v>0</v>
      </c>
      <c r="BI28" s="76">
        <f t="shared" si="8"/>
        <v>0</v>
      </c>
      <c r="BJ28" s="47" t="s">
        <v>51</v>
      </c>
      <c r="BK28" s="76">
        <f t="shared" si="9"/>
        <v>0</v>
      </c>
      <c r="BL28" s="47" t="s">
        <v>363</v>
      </c>
      <c r="BM28" s="75" t="s">
        <v>1503</v>
      </c>
    </row>
    <row r="29" spans="4:63" s="64" customFormat="1" ht="25.95" customHeight="1">
      <c r="D29" s="65" t="s">
        <v>877</v>
      </c>
      <c r="E29" s="203" t="s">
        <v>201</v>
      </c>
      <c r="F29" s="203" t="s">
        <v>1412</v>
      </c>
      <c r="J29" s="204">
        <f>BK29</f>
        <v>0</v>
      </c>
      <c r="P29" s="67">
        <f>P30</f>
        <v>3.637168</v>
      </c>
      <c r="R29" s="67">
        <f>R30</f>
        <v>1.73286912</v>
      </c>
      <c r="T29" s="68">
        <f>T30</f>
        <v>0</v>
      </c>
      <c r="AR29" s="65" t="s">
        <v>67</v>
      </c>
      <c r="AT29" s="69" t="s">
        <v>877</v>
      </c>
      <c r="AU29" s="69" t="s">
        <v>880</v>
      </c>
      <c r="AY29" s="65" t="s">
        <v>881</v>
      </c>
      <c r="BK29" s="70">
        <f>BK30</f>
        <v>0</v>
      </c>
    </row>
    <row r="30" spans="4:63" s="64" customFormat="1" ht="22.95" customHeight="1">
      <c r="D30" s="65" t="s">
        <v>877</v>
      </c>
      <c r="E30" s="205" t="s">
        <v>1504</v>
      </c>
      <c r="F30" s="205" t="s">
        <v>1505</v>
      </c>
      <c r="J30" s="206">
        <f>BK30</f>
        <v>0</v>
      </c>
      <c r="P30" s="67">
        <f>SUM(P31:P38)</f>
        <v>3.637168</v>
      </c>
      <c r="R30" s="67">
        <f>SUM(R31:R38)</f>
        <v>1.73286912</v>
      </c>
      <c r="T30" s="68">
        <f>SUM(T31:T38)</f>
        <v>0</v>
      </c>
      <c r="AR30" s="65" t="s">
        <v>67</v>
      </c>
      <c r="AT30" s="69" t="s">
        <v>877</v>
      </c>
      <c r="AU30" s="69" t="s">
        <v>51</v>
      </c>
      <c r="AY30" s="65" t="s">
        <v>881</v>
      </c>
      <c r="BK30" s="70">
        <f>SUM(BK31:BK38)</f>
        <v>0</v>
      </c>
    </row>
    <row r="31" spans="3:65" s="48" customFormat="1" ht="24.15" customHeight="1">
      <c r="C31" s="79" t="s">
        <v>76</v>
      </c>
      <c r="D31" s="79" t="s">
        <v>883</v>
      </c>
      <c r="E31" s="80" t="s">
        <v>1513</v>
      </c>
      <c r="F31" s="81" t="s">
        <v>1514</v>
      </c>
      <c r="G31" s="82" t="s">
        <v>260</v>
      </c>
      <c r="H31" s="83">
        <v>1</v>
      </c>
      <c r="I31" s="527"/>
      <c r="J31" s="84">
        <f>ROUND(I31*H31,2)</f>
        <v>0</v>
      </c>
      <c r="K31" s="521"/>
      <c r="L31" s="533" t="s">
        <v>2474</v>
      </c>
      <c r="M31" s="530" t="s">
        <v>854</v>
      </c>
      <c r="N31" s="72" t="s">
        <v>860</v>
      </c>
      <c r="O31" s="73">
        <v>3.214</v>
      </c>
      <c r="P31" s="73">
        <f>O31*H31</f>
        <v>3.214</v>
      </c>
      <c r="Q31" s="73">
        <v>0</v>
      </c>
      <c r="R31" s="73">
        <f>Q31*H31</f>
        <v>0</v>
      </c>
      <c r="S31" s="73">
        <v>0</v>
      </c>
      <c r="T31" s="74">
        <f>S31*H31</f>
        <v>0</v>
      </c>
      <c r="AR31" s="75" t="s">
        <v>363</v>
      </c>
      <c r="AT31" s="75" t="s">
        <v>883</v>
      </c>
      <c r="AU31" s="75" t="s">
        <v>63</v>
      </c>
      <c r="AY31" s="47" t="s">
        <v>881</v>
      </c>
      <c r="BE31" s="76">
        <f>IF(N31="základní",J31,0)</f>
        <v>0</v>
      </c>
      <c r="BF31" s="76">
        <f>IF(N31="snížená",J31,0)</f>
        <v>0</v>
      </c>
      <c r="BG31" s="76">
        <f>IF(N31="zákl. přenesená",J31,0)</f>
        <v>0</v>
      </c>
      <c r="BH31" s="76">
        <f>IF(N31="sníž. přenesená",J31,0)</f>
        <v>0</v>
      </c>
      <c r="BI31" s="76">
        <f>IF(N31="nulová",J31,0)</f>
        <v>0</v>
      </c>
      <c r="BJ31" s="47" t="s">
        <v>51</v>
      </c>
      <c r="BK31" s="76">
        <f>ROUND(I31*H31,2)</f>
        <v>0</v>
      </c>
      <c r="BL31" s="47" t="s">
        <v>363</v>
      </c>
      <c r="BM31" s="75" t="s">
        <v>1602</v>
      </c>
    </row>
    <row r="32" spans="3:65" s="48" customFormat="1" ht="24.15" customHeight="1">
      <c r="C32" s="79" t="s">
        <v>75</v>
      </c>
      <c r="D32" s="79" t="s">
        <v>883</v>
      </c>
      <c r="E32" s="80" t="s">
        <v>1517</v>
      </c>
      <c r="F32" s="81" t="s">
        <v>1518</v>
      </c>
      <c r="G32" s="82" t="s">
        <v>81</v>
      </c>
      <c r="H32" s="83">
        <v>0.768</v>
      </c>
      <c r="I32" s="527"/>
      <c r="J32" s="84">
        <f>ROUND(I32*H32,2)</f>
        <v>0</v>
      </c>
      <c r="K32" s="521"/>
      <c r="L32" s="533" t="s">
        <v>2474</v>
      </c>
      <c r="M32" s="530" t="s">
        <v>854</v>
      </c>
      <c r="N32" s="72" t="s">
        <v>860</v>
      </c>
      <c r="O32" s="73">
        <v>0.477</v>
      </c>
      <c r="P32" s="73">
        <f>O32*H32</f>
        <v>0.366336</v>
      </c>
      <c r="Q32" s="73">
        <v>2.25634</v>
      </c>
      <c r="R32" s="73">
        <f>Q32*H32</f>
        <v>1.73286912</v>
      </c>
      <c r="S32" s="73">
        <v>0</v>
      </c>
      <c r="T32" s="74">
        <f>S32*H32</f>
        <v>0</v>
      </c>
      <c r="AR32" s="75" t="s">
        <v>363</v>
      </c>
      <c r="AT32" s="75" t="s">
        <v>883</v>
      </c>
      <c r="AU32" s="75" t="s">
        <v>63</v>
      </c>
      <c r="AY32" s="47" t="s">
        <v>881</v>
      </c>
      <c r="BE32" s="76">
        <f>IF(N32="základní",J32,0)</f>
        <v>0</v>
      </c>
      <c r="BF32" s="76">
        <f>IF(N32="snížená",J32,0)</f>
        <v>0</v>
      </c>
      <c r="BG32" s="76">
        <f>IF(N32="zákl. přenesená",J32,0)</f>
        <v>0</v>
      </c>
      <c r="BH32" s="76">
        <f>IF(N32="sníž. přenesená",J32,0)</f>
        <v>0</v>
      </c>
      <c r="BI32" s="76">
        <f>IF(N32="nulová",J32,0)</f>
        <v>0</v>
      </c>
      <c r="BJ32" s="47" t="s">
        <v>51</v>
      </c>
      <c r="BK32" s="76">
        <f>ROUND(I32*H32,2)</f>
        <v>0</v>
      </c>
      <c r="BL32" s="47" t="s">
        <v>363</v>
      </c>
      <c r="BM32" s="75" t="s">
        <v>1603</v>
      </c>
    </row>
    <row r="33" spans="4:51" s="95" customFormat="1" ht="10.2">
      <c r="D33" s="207" t="s">
        <v>1418</v>
      </c>
      <c r="E33" s="96" t="s">
        <v>854</v>
      </c>
      <c r="F33" s="208" t="s">
        <v>1604</v>
      </c>
      <c r="H33" s="209">
        <v>0.768</v>
      </c>
      <c r="T33" s="97"/>
      <c r="AT33" s="96" t="s">
        <v>1418</v>
      </c>
      <c r="AU33" s="96" t="s">
        <v>63</v>
      </c>
      <c r="AV33" s="95" t="s">
        <v>63</v>
      </c>
      <c r="AW33" s="95" t="s">
        <v>1420</v>
      </c>
      <c r="AX33" s="95" t="s">
        <v>880</v>
      </c>
      <c r="AY33" s="96" t="s">
        <v>881</v>
      </c>
    </row>
    <row r="34" spans="3:65" s="48" customFormat="1" ht="21.75" customHeight="1">
      <c r="C34" s="79" t="s">
        <v>128</v>
      </c>
      <c r="D34" s="79" t="s">
        <v>883</v>
      </c>
      <c r="E34" s="80" t="s">
        <v>1570</v>
      </c>
      <c r="F34" s="81" t="s">
        <v>1571</v>
      </c>
      <c r="G34" s="82" t="s">
        <v>81</v>
      </c>
      <c r="H34" s="83">
        <v>0.768</v>
      </c>
      <c r="I34" s="527"/>
      <c r="J34" s="84">
        <f>ROUND(I34*H34,2)</f>
        <v>0</v>
      </c>
      <c r="K34" s="521"/>
      <c r="L34" s="533" t="s">
        <v>2474</v>
      </c>
      <c r="M34" s="530" t="s">
        <v>854</v>
      </c>
      <c r="N34" s="72" t="s">
        <v>860</v>
      </c>
      <c r="O34" s="73">
        <v>0.074</v>
      </c>
      <c r="P34" s="73">
        <f>O34*H34</f>
        <v>0.056832</v>
      </c>
      <c r="Q34" s="73">
        <v>0</v>
      </c>
      <c r="R34" s="73">
        <f>Q34*H34</f>
        <v>0</v>
      </c>
      <c r="S34" s="73">
        <v>0</v>
      </c>
      <c r="T34" s="74">
        <f>S34*H34</f>
        <v>0</v>
      </c>
      <c r="AR34" s="75" t="s">
        <v>363</v>
      </c>
      <c r="AT34" s="75" t="s">
        <v>883</v>
      </c>
      <c r="AU34" s="75" t="s">
        <v>63</v>
      </c>
      <c r="AY34" s="47" t="s">
        <v>881</v>
      </c>
      <c r="BE34" s="76">
        <f>IF(N34="základní",J34,0)</f>
        <v>0</v>
      </c>
      <c r="BF34" s="76">
        <f>IF(N34="snížená",J34,0)</f>
        <v>0</v>
      </c>
      <c r="BG34" s="76">
        <f>IF(N34="zákl. přenesená",J34,0)</f>
        <v>0</v>
      </c>
      <c r="BH34" s="76">
        <f>IF(N34="sníž. přenesená",J34,0)</f>
        <v>0</v>
      </c>
      <c r="BI34" s="76">
        <f>IF(N34="nulová",J34,0)</f>
        <v>0</v>
      </c>
      <c r="BJ34" s="47" t="s">
        <v>51</v>
      </c>
      <c r="BK34" s="76">
        <f>ROUND(I34*H34,2)</f>
        <v>0</v>
      </c>
      <c r="BL34" s="47" t="s">
        <v>363</v>
      </c>
      <c r="BM34" s="75" t="s">
        <v>1605</v>
      </c>
    </row>
    <row r="35" spans="3:65" s="48" customFormat="1" ht="24.15" customHeight="1">
      <c r="C35" s="79" t="s">
        <v>66</v>
      </c>
      <c r="D35" s="79" t="s">
        <v>883</v>
      </c>
      <c r="E35" s="80" t="s">
        <v>1575</v>
      </c>
      <c r="F35" s="81" t="s">
        <v>1576</v>
      </c>
      <c r="G35" s="82" t="s">
        <v>81</v>
      </c>
      <c r="H35" s="83">
        <v>11.52</v>
      </c>
      <c r="I35" s="527"/>
      <c r="J35" s="84">
        <f>ROUND(I35*H35,2)</f>
        <v>0</v>
      </c>
      <c r="K35" s="521"/>
      <c r="L35" s="533" t="s">
        <v>2474</v>
      </c>
      <c r="M35" s="530" t="s">
        <v>854</v>
      </c>
      <c r="N35" s="72" t="s">
        <v>860</v>
      </c>
      <c r="O35" s="73">
        <v>0</v>
      </c>
      <c r="P35" s="73">
        <f>O35*H35</f>
        <v>0</v>
      </c>
      <c r="Q35" s="73">
        <v>0</v>
      </c>
      <c r="R35" s="73">
        <f>Q35*H35</f>
        <v>0</v>
      </c>
      <c r="S35" s="73">
        <v>0</v>
      </c>
      <c r="T35" s="74">
        <f>S35*H35</f>
        <v>0</v>
      </c>
      <c r="AR35" s="75" t="s">
        <v>363</v>
      </c>
      <c r="AT35" s="75" t="s">
        <v>883</v>
      </c>
      <c r="AU35" s="75" t="s">
        <v>63</v>
      </c>
      <c r="AY35" s="47" t="s">
        <v>881</v>
      </c>
      <c r="BE35" s="76">
        <f>IF(N35="základní",J35,0)</f>
        <v>0</v>
      </c>
      <c r="BF35" s="76">
        <f>IF(N35="snížená",J35,0)</f>
        <v>0</v>
      </c>
      <c r="BG35" s="76">
        <f>IF(N35="zákl. přenesená",J35,0)</f>
        <v>0</v>
      </c>
      <c r="BH35" s="76">
        <f>IF(N35="sníž. přenesená",J35,0)</f>
        <v>0</v>
      </c>
      <c r="BI35" s="76">
        <f>IF(N35="nulová",J35,0)</f>
        <v>0</v>
      </c>
      <c r="BJ35" s="47" t="s">
        <v>51</v>
      </c>
      <c r="BK35" s="76">
        <f>ROUND(I35*H35,2)</f>
        <v>0</v>
      </c>
      <c r="BL35" s="47" t="s">
        <v>363</v>
      </c>
      <c r="BM35" s="75" t="s">
        <v>1606</v>
      </c>
    </row>
    <row r="36" spans="4:51" s="95" customFormat="1" ht="10.2">
      <c r="D36" s="207" t="s">
        <v>1418</v>
      </c>
      <c r="E36" s="96" t="s">
        <v>854</v>
      </c>
      <c r="F36" s="208" t="s">
        <v>1607</v>
      </c>
      <c r="H36" s="209">
        <v>11.52</v>
      </c>
      <c r="T36" s="97"/>
      <c r="AT36" s="96" t="s">
        <v>1418</v>
      </c>
      <c r="AU36" s="96" t="s">
        <v>63</v>
      </c>
      <c r="AV36" s="95" t="s">
        <v>63</v>
      </c>
      <c r="AW36" s="95" t="s">
        <v>1420</v>
      </c>
      <c r="AX36" s="95" t="s">
        <v>51</v>
      </c>
      <c r="AY36" s="96" t="s">
        <v>881</v>
      </c>
    </row>
    <row r="37" spans="3:65" s="48" customFormat="1" ht="16.5" customHeight="1">
      <c r="C37" s="79" t="s">
        <v>92</v>
      </c>
      <c r="D37" s="79" t="s">
        <v>883</v>
      </c>
      <c r="E37" s="80" t="s">
        <v>1587</v>
      </c>
      <c r="F37" s="81" t="s">
        <v>124</v>
      </c>
      <c r="G37" s="82" t="s">
        <v>125</v>
      </c>
      <c r="H37" s="83">
        <v>1.229</v>
      </c>
      <c r="I37" s="527"/>
      <c r="J37" s="84">
        <f>ROUND(I37*H37,2)</f>
        <v>0</v>
      </c>
      <c r="K37" s="521"/>
      <c r="L37" s="533" t="s">
        <v>2130</v>
      </c>
      <c r="M37" s="530" t="s">
        <v>854</v>
      </c>
      <c r="N37" s="72" t="s">
        <v>860</v>
      </c>
      <c r="O37" s="73">
        <v>0</v>
      </c>
      <c r="P37" s="73">
        <f>O37*H37</f>
        <v>0</v>
      </c>
      <c r="Q37" s="73">
        <v>0</v>
      </c>
      <c r="R37" s="73">
        <f>Q37*H37</f>
        <v>0</v>
      </c>
      <c r="S37" s="73">
        <v>0</v>
      </c>
      <c r="T37" s="74">
        <f>S37*H37</f>
        <v>0</v>
      </c>
      <c r="AR37" s="75" t="s">
        <v>363</v>
      </c>
      <c r="AT37" s="75" t="s">
        <v>883</v>
      </c>
      <c r="AU37" s="75" t="s">
        <v>63</v>
      </c>
      <c r="AY37" s="47" t="s">
        <v>881</v>
      </c>
      <c r="BE37" s="76">
        <f>IF(N37="základní",J37,0)</f>
        <v>0</v>
      </c>
      <c r="BF37" s="76">
        <f>IF(N37="snížená",J37,0)</f>
        <v>0</v>
      </c>
      <c r="BG37" s="76">
        <f>IF(N37="zákl. přenesená",J37,0)</f>
        <v>0</v>
      </c>
      <c r="BH37" s="76">
        <f>IF(N37="sníž. přenesená",J37,0)</f>
        <v>0</v>
      </c>
      <c r="BI37" s="76">
        <f>IF(N37="nulová",J37,0)</f>
        <v>0</v>
      </c>
      <c r="BJ37" s="47" t="s">
        <v>51</v>
      </c>
      <c r="BK37" s="76">
        <f>ROUND(I37*H37,2)</f>
        <v>0</v>
      </c>
      <c r="BL37" s="47" t="s">
        <v>363</v>
      </c>
      <c r="BM37" s="75" t="s">
        <v>1608</v>
      </c>
    </row>
    <row r="38" spans="4:51" s="95" customFormat="1" ht="10.2">
      <c r="D38" s="207" t="s">
        <v>1418</v>
      </c>
      <c r="E38" s="96" t="s">
        <v>854</v>
      </c>
      <c r="F38" s="208" t="s">
        <v>1609</v>
      </c>
      <c r="H38" s="209">
        <v>1.229</v>
      </c>
      <c r="M38" s="98"/>
      <c r="N38" s="98"/>
      <c r="O38" s="98"/>
      <c r="P38" s="98"/>
      <c r="Q38" s="98"/>
      <c r="R38" s="98"/>
      <c r="S38" s="98"/>
      <c r="T38" s="99"/>
      <c r="AT38" s="96" t="s">
        <v>1418</v>
      </c>
      <c r="AU38" s="96" t="s">
        <v>63</v>
      </c>
      <c r="AV38" s="95" t="s">
        <v>63</v>
      </c>
      <c r="AW38" s="95" t="s">
        <v>1420</v>
      </c>
      <c r="AX38" s="95" t="s">
        <v>51</v>
      </c>
      <c r="AY38" s="96" t="s">
        <v>881</v>
      </c>
    </row>
    <row r="39" s="48" customFormat="1" ht="6.9" customHeight="1">
      <c r="K39" s="50"/>
    </row>
  </sheetData>
  <sheetProtection algorithmName="SHA-512" hashValue="HlsCKgaEbjZfMVQHjYhO6X6VHli2wrxtFYQGHFWzh1fib2itj+EoQl6l9zpYKwXTI66Dw5Pr+ONU3VXXrihMqQ==" saltValue="zYPjyUCnLz7oTY3Xk/x/Ww==" spinCount="100000" sheet="1" objects="1" scenarios="1"/>
  <mergeCells count="2">
    <mergeCell ref="E6:H6"/>
    <mergeCell ref="E8:H8"/>
  </mergeCells>
  <printOptions/>
  <pageMargins left="0.7086614173228347" right="0.7086614173228347" top="0.7874015748031497" bottom="0.7874015748031497" header="0.31496062992125984" footer="0.31496062992125984"/>
  <pageSetup fitToHeight="10" fitToWidth="1" horizontalDpi="600" verticalDpi="600" orientation="portrait" paperSize="9" scale="75" r:id="rId1"/>
  <headerFooter>
    <oddFooter>&amp;CStrana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2CE9-C29C-4FC4-A4BD-DA0ADA249CDF}">
  <sheetPr>
    <pageSetUpPr fitToPage="1"/>
  </sheetPr>
  <dimension ref="C2:BM126"/>
  <sheetViews>
    <sheetView showGridLines="0" view="pageBreakPreview" zoomScale="115" zoomScaleSheetLayoutView="115" workbookViewId="0" topLeftCell="A104">
      <selection activeCell="F125" sqref="F125"/>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8.710937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102" width="9.140625" style="0" hidden="1" customWidth="1"/>
    <col min="103" max="103" width="1.421875" style="0"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1597</v>
      </c>
      <c r="F6" s="646"/>
      <c r="G6" s="646"/>
      <c r="H6" s="646"/>
    </row>
    <row r="7" s="48" customFormat="1" ht="12" customHeight="1">
      <c r="C7" s="197" t="s">
        <v>852</v>
      </c>
    </row>
    <row r="8" spans="5:8" s="48" customFormat="1" ht="16.5" customHeight="1">
      <c r="E8" s="647" t="s">
        <v>1610</v>
      </c>
      <c r="F8" s="648"/>
      <c r="G8" s="648"/>
      <c r="H8" s="648"/>
    </row>
    <row r="9" s="48" customFormat="1" ht="6.9" customHeight="1"/>
    <row r="10" spans="3:10" s="48" customFormat="1" ht="12" customHeight="1">
      <c r="C10" s="197" t="s">
        <v>855</v>
      </c>
      <c r="F10" s="198" t="s">
        <v>1410</v>
      </c>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35"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P17+P28+P96</f>
        <v>856.8140920000001</v>
      </c>
      <c r="Q16" s="49"/>
      <c r="R16" s="61">
        <f>R17+R28+R96</f>
        <v>91.67021209999997</v>
      </c>
      <c r="S16" s="49"/>
      <c r="T16" s="62">
        <f>T17+T28+T96</f>
        <v>0</v>
      </c>
      <c r="AT16" s="47" t="s">
        <v>877</v>
      </c>
      <c r="AU16" s="47" t="s">
        <v>863</v>
      </c>
      <c r="BK16" s="63">
        <f>BK17+BK28+BK96</f>
        <v>0</v>
      </c>
    </row>
    <row r="17" spans="4:63" s="64" customFormat="1" ht="25.95" customHeight="1">
      <c r="D17" s="65" t="s">
        <v>877</v>
      </c>
      <c r="E17" s="203" t="s">
        <v>878</v>
      </c>
      <c r="F17" s="203" t="s">
        <v>878</v>
      </c>
      <c r="J17" s="204">
        <f>BK17</f>
        <v>0</v>
      </c>
      <c r="P17" s="67">
        <f>P18</f>
        <v>19.751</v>
      </c>
      <c r="R17" s="67">
        <f>R18</f>
        <v>0.9509500000000001</v>
      </c>
      <c r="T17" s="68">
        <f>T18</f>
        <v>0</v>
      </c>
      <c r="AR17" s="65" t="s">
        <v>51</v>
      </c>
      <c r="AT17" s="69" t="s">
        <v>877</v>
      </c>
      <c r="AU17" s="69" t="s">
        <v>880</v>
      </c>
      <c r="AY17" s="65" t="s">
        <v>881</v>
      </c>
      <c r="BK17" s="70">
        <f>BK18</f>
        <v>0</v>
      </c>
    </row>
    <row r="18" spans="4:63" s="64" customFormat="1" ht="22.95" customHeight="1">
      <c r="D18" s="65" t="s">
        <v>877</v>
      </c>
      <c r="E18" s="205" t="s">
        <v>1611</v>
      </c>
      <c r="F18" s="205" t="s">
        <v>1612</v>
      </c>
      <c r="J18" s="206">
        <f>BK18</f>
        <v>0</v>
      </c>
      <c r="P18" s="67">
        <f>SUM(P19:P27)</f>
        <v>19.751</v>
      </c>
      <c r="R18" s="67">
        <f>SUM(R19:R27)</f>
        <v>0.9509500000000001</v>
      </c>
      <c r="T18" s="68">
        <f>SUM(T19:T27)</f>
        <v>0</v>
      </c>
      <c r="AR18" s="65" t="s">
        <v>51</v>
      </c>
      <c r="AT18" s="69" t="s">
        <v>877</v>
      </c>
      <c r="AU18" s="69" t="s">
        <v>51</v>
      </c>
      <c r="AY18" s="65" t="s">
        <v>881</v>
      </c>
      <c r="BK18" s="70">
        <f>SUM(BK19:BK27)</f>
        <v>0</v>
      </c>
    </row>
    <row r="19" spans="3:65" s="48" customFormat="1" ht="24.15" customHeight="1">
      <c r="C19" s="79" t="s">
        <v>51</v>
      </c>
      <c r="D19" s="79" t="s">
        <v>883</v>
      </c>
      <c r="E19" s="80" t="s">
        <v>1613</v>
      </c>
      <c r="F19" s="81" t="s">
        <v>1614</v>
      </c>
      <c r="G19" s="82" t="s">
        <v>54</v>
      </c>
      <c r="H19" s="83">
        <v>11</v>
      </c>
      <c r="I19" s="527"/>
      <c r="J19" s="84">
        <f>ROUND(I19*H19,2)</f>
        <v>0</v>
      </c>
      <c r="K19" s="521"/>
      <c r="L19" s="533" t="s">
        <v>2474</v>
      </c>
      <c r="M19" s="530" t="s">
        <v>854</v>
      </c>
      <c r="N19" s="72" t="s">
        <v>860</v>
      </c>
      <c r="O19" s="73">
        <v>0.16</v>
      </c>
      <c r="P19" s="73">
        <f>O19*H19</f>
        <v>1.76</v>
      </c>
      <c r="Q19" s="73">
        <v>0</v>
      </c>
      <c r="R19" s="73">
        <f>Q19*H19</f>
        <v>0</v>
      </c>
      <c r="S19" s="73">
        <v>0</v>
      </c>
      <c r="T19" s="74">
        <f>S19*H19</f>
        <v>0</v>
      </c>
      <c r="AR19" s="75" t="s">
        <v>363</v>
      </c>
      <c r="AT19" s="75" t="s">
        <v>883</v>
      </c>
      <c r="AU19" s="75" t="s">
        <v>63</v>
      </c>
      <c r="AY19" s="47" t="s">
        <v>881</v>
      </c>
      <c r="BE19" s="76">
        <f>IF(N19="základní",J19,0)</f>
        <v>0</v>
      </c>
      <c r="BF19" s="76">
        <f>IF(N19="snížená",J19,0)</f>
        <v>0</v>
      </c>
      <c r="BG19" s="76">
        <f>IF(N19="zákl. přenesená",J19,0)</f>
        <v>0</v>
      </c>
      <c r="BH19" s="76">
        <f>IF(N19="sníž. přenesená",J19,0)</f>
        <v>0</v>
      </c>
      <c r="BI19" s="76">
        <f>IF(N19="nulová",J19,0)</f>
        <v>0</v>
      </c>
      <c r="BJ19" s="47" t="s">
        <v>51</v>
      </c>
      <c r="BK19" s="76">
        <f>ROUND(I19*H19,2)</f>
        <v>0</v>
      </c>
      <c r="BL19" s="47" t="s">
        <v>363</v>
      </c>
      <c r="BM19" s="75" t="s">
        <v>1615</v>
      </c>
    </row>
    <row r="20" spans="4:51" s="95" customFormat="1" ht="10.2">
      <c r="D20" s="207" t="s">
        <v>1418</v>
      </c>
      <c r="E20" s="96" t="s">
        <v>854</v>
      </c>
      <c r="F20" s="208" t="s">
        <v>1616</v>
      </c>
      <c r="H20" s="209">
        <v>11</v>
      </c>
      <c r="T20" s="97"/>
      <c r="AT20" s="96" t="s">
        <v>1418</v>
      </c>
      <c r="AU20" s="96" t="s">
        <v>63</v>
      </c>
      <c r="AV20" s="95" t="s">
        <v>63</v>
      </c>
      <c r="AW20" s="95" t="s">
        <v>1420</v>
      </c>
      <c r="AX20" s="95" t="s">
        <v>51</v>
      </c>
      <c r="AY20" s="96" t="s">
        <v>881</v>
      </c>
    </row>
    <row r="21" spans="3:65" s="48" customFormat="1" ht="24.15" customHeight="1">
      <c r="C21" s="79" t="s">
        <v>63</v>
      </c>
      <c r="D21" s="79" t="s">
        <v>883</v>
      </c>
      <c r="E21" s="80" t="s">
        <v>1617</v>
      </c>
      <c r="F21" s="81" t="s">
        <v>1618</v>
      </c>
      <c r="G21" s="82" t="s">
        <v>54</v>
      </c>
      <c r="H21" s="83">
        <v>11</v>
      </c>
      <c r="I21" s="527"/>
      <c r="J21" s="84">
        <f>ROUND(I21*H21,2)</f>
        <v>0</v>
      </c>
      <c r="K21" s="521"/>
      <c r="L21" s="533" t="s">
        <v>2474</v>
      </c>
      <c r="M21" s="530" t="s">
        <v>854</v>
      </c>
      <c r="N21" s="72" t="s">
        <v>860</v>
      </c>
      <c r="O21" s="73">
        <v>0.45</v>
      </c>
      <c r="P21" s="73">
        <f>O21*H21</f>
        <v>4.95</v>
      </c>
      <c r="Q21" s="73">
        <v>0</v>
      </c>
      <c r="R21" s="73">
        <f>Q21*H21</f>
        <v>0</v>
      </c>
      <c r="S21" s="73">
        <v>0</v>
      </c>
      <c r="T21" s="74">
        <f>S21*H21</f>
        <v>0</v>
      </c>
      <c r="AR21" s="75" t="s">
        <v>363</v>
      </c>
      <c r="AT21" s="75" t="s">
        <v>883</v>
      </c>
      <c r="AU21" s="75" t="s">
        <v>63</v>
      </c>
      <c r="AY21" s="47" t="s">
        <v>881</v>
      </c>
      <c r="BE21" s="76">
        <f>IF(N21="základní",J21,0)</f>
        <v>0</v>
      </c>
      <c r="BF21" s="76">
        <f>IF(N21="snížená",J21,0)</f>
        <v>0</v>
      </c>
      <c r="BG21" s="76">
        <f>IF(N21="zákl. přenesená",J21,0)</f>
        <v>0</v>
      </c>
      <c r="BH21" s="76">
        <f>IF(N21="sníž. přenesená",J21,0)</f>
        <v>0</v>
      </c>
      <c r="BI21" s="76">
        <f>IF(N21="nulová",J21,0)</f>
        <v>0</v>
      </c>
      <c r="BJ21" s="47" t="s">
        <v>51</v>
      </c>
      <c r="BK21" s="76">
        <f>ROUND(I21*H21,2)</f>
        <v>0</v>
      </c>
      <c r="BL21" s="47" t="s">
        <v>363</v>
      </c>
      <c r="BM21" s="75" t="s">
        <v>1619</v>
      </c>
    </row>
    <row r="22" spans="3:65" s="48" customFormat="1" ht="24.15" customHeight="1">
      <c r="C22" s="79" t="s">
        <v>67</v>
      </c>
      <c r="D22" s="79" t="s">
        <v>883</v>
      </c>
      <c r="E22" s="80" t="s">
        <v>1620</v>
      </c>
      <c r="F22" s="81" t="s">
        <v>1621</v>
      </c>
      <c r="G22" s="82" t="s">
        <v>54</v>
      </c>
      <c r="H22" s="83">
        <v>7</v>
      </c>
      <c r="I22" s="527"/>
      <c r="J22" s="84">
        <f>ROUND(I22*H22,2)</f>
        <v>0</v>
      </c>
      <c r="K22" s="521"/>
      <c r="L22" s="533" t="s">
        <v>2474</v>
      </c>
      <c r="M22" s="530" t="s">
        <v>854</v>
      </c>
      <c r="N22" s="72" t="s">
        <v>860</v>
      </c>
      <c r="O22" s="73">
        <v>0.66</v>
      </c>
      <c r="P22" s="73">
        <f>O22*H22</f>
        <v>4.62</v>
      </c>
      <c r="Q22" s="73">
        <v>0</v>
      </c>
      <c r="R22" s="73">
        <f>Q22*H22</f>
        <v>0</v>
      </c>
      <c r="S22" s="73">
        <v>0</v>
      </c>
      <c r="T22" s="74">
        <f>S22*H22</f>
        <v>0</v>
      </c>
      <c r="AR22" s="75" t="s">
        <v>363</v>
      </c>
      <c r="AT22" s="75" t="s">
        <v>883</v>
      </c>
      <c r="AU22" s="75" t="s">
        <v>63</v>
      </c>
      <c r="AY22" s="47" t="s">
        <v>881</v>
      </c>
      <c r="BE22" s="76">
        <f>IF(N22="základní",J22,0)</f>
        <v>0</v>
      </c>
      <c r="BF22" s="76">
        <f>IF(N22="snížená",J22,0)</f>
        <v>0</v>
      </c>
      <c r="BG22" s="76">
        <f>IF(N22="zákl. přenesená",J22,0)</f>
        <v>0</v>
      </c>
      <c r="BH22" s="76">
        <f>IF(N22="sníž. přenesená",J22,0)</f>
        <v>0</v>
      </c>
      <c r="BI22" s="76">
        <f>IF(N22="nulová",J22,0)</f>
        <v>0</v>
      </c>
      <c r="BJ22" s="47" t="s">
        <v>51</v>
      </c>
      <c r="BK22" s="76">
        <f>ROUND(I22*H22,2)</f>
        <v>0</v>
      </c>
      <c r="BL22" s="47" t="s">
        <v>363</v>
      </c>
      <c r="BM22" s="75" t="s">
        <v>1622</v>
      </c>
    </row>
    <row r="23" spans="4:51" s="95" customFormat="1" ht="10.2">
      <c r="D23" s="207" t="s">
        <v>1418</v>
      </c>
      <c r="E23" s="96" t="s">
        <v>854</v>
      </c>
      <c r="F23" s="208" t="s">
        <v>1623</v>
      </c>
      <c r="H23" s="209">
        <v>7</v>
      </c>
      <c r="T23" s="97"/>
      <c r="AT23" s="96" t="s">
        <v>1418</v>
      </c>
      <c r="AU23" s="96" t="s">
        <v>63</v>
      </c>
      <c r="AV23" s="95" t="s">
        <v>63</v>
      </c>
      <c r="AW23" s="95" t="s">
        <v>1420</v>
      </c>
      <c r="AX23" s="95" t="s">
        <v>880</v>
      </c>
      <c r="AY23" s="96" t="s">
        <v>881</v>
      </c>
    </row>
    <row r="24" spans="3:65" s="48" customFormat="1" ht="21.75" customHeight="1">
      <c r="C24" s="79" t="s">
        <v>71</v>
      </c>
      <c r="D24" s="79" t="s">
        <v>883</v>
      </c>
      <c r="E24" s="80" t="s">
        <v>1624</v>
      </c>
      <c r="F24" s="81" t="s">
        <v>1625</v>
      </c>
      <c r="G24" s="82" t="s">
        <v>54</v>
      </c>
      <c r="H24" s="83">
        <v>11</v>
      </c>
      <c r="I24" s="527"/>
      <c r="J24" s="84">
        <f>ROUND(I24*H24,2)</f>
        <v>0</v>
      </c>
      <c r="K24" s="521"/>
      <c r="L24" s="533" t="s">
        <v>2474</v>
      </c>
      <c r="M24" s="530" t="s">
        <v>854</v>
      </c>
      <c r="N24" s="72" t="s">
        <v>860</v>
      </c>
      <c r="O24" s="73">
        <v>0.029</v>
      </c>
      <c r="P24" s="73">
        <f>O24*H24</f>
        <v>0.319</v>
      </c>
      <c r="Q24" s="73">
        <v>0</v>
      </c>
      <c r="R24" s="73">
        <f>Q24*H24</f>
        <v>0</v>
      </c>
      <c r="S24" s="73">
        <v>0</v>
      </c>
      <c r="T24" s="74">
        <f>S24*H24</f>
        <v>0</v>
      </c>
      <c r="AR24" s="75" t="s">
        <v>71</v>
      </c>
      <c r="AT24" s="75" t="s">
        <v>883</v>
      </c>
      <c r="AU24" s="75" t="s">
        <v>63</v>
      </c>
      <c r="AY24" s="47" t="s">
        <v>881</v>
      </c>
      <c r="BE24" s="76">
        <f>IF(N24="základní",J24,0)</f>
        <v>0</v>
      </c>
      <c r="BF24" s="76">
        <f>IF(N24="snížená",J24,0)</f>
        <v>0</v>
      </c>
      <c r="BG24" s="76">
        <f>IF(N24="zákl. přenesená",J24,0)</f>
        <v>0</v>
      </c>
      <c r="BH24" s="76">
        <f>IF(N24="sníž. přenesená",J24,0)</f>
        <v>0</v>
      </c>
      <c r="BI24" s="76">
        <f>IF(N24="nulová",J24,0)</f>
        <v>0</v>
      </c>
      <c r="BJ24" s="47" t="s">
        <v>51</v>
      </c>
      <c r="BK24" s="76">
        <f>ROUND(I24*H24,2)</f>
        <v>0</v>
      </c>
      <c r="BL24" s="47" t="s">
        <v>71</v>
      </c>
      <c r="BM24" s="75" t="s">
        <v>1626</v>
      </c>
    </row>
    <row r="25" spans="3:65" s="48" customFormat="1" ht="16.5" customHeight="1">
      <c r="C25" s="79" t="s">
        <v>78</v>
      </c>
      <c r="D25" s="79" t="s">
        <v>883</v>
      </c>
      <c r="E25" s="80" t="s">
        <v>1627</v>
      </c>
      <c r="F25" s="81" t="s">
        <v>1628</v>
      </c>
      <c r="G25" s="82" t="s">
        <v>54</v>
      </c>
      <c r="H25" s="83">
        <v>7</v>
      </c>
      <c r="I25" s="527"/>
      <c r="J25" s="84">
        <f>ROUND(I25*H25,2)</f>
        <v>0</v>
      </c>
      <c r="K25" s="521"/>
      <c r="L25" s="533" t="s">
        <v>2474</v>
      </c>
      <c r="M25" s="530" t="s">
        <v>854</v>
      </c>
      <c r="N25" s="72" t="s">
        <v>860</v>
      </c>
      <c r="O25" s="73">
        <v>0.026</v>
      </c>
      <c r="P25" s="73">
        <f>O25*H25</f>
        <v>0.182</v>
      </c>
      <c r="Q25" s="73">
        <v>0</v>
      </c>
      <c r="R25" s="73">
        <f>Q25*H25</f>
        <v>0</v>
      </c>
      <c r="S25" s="73">
        <v>0</v>
      </c>
      <c r="T25" s="74">
        <f>S25*H25</f>
        <v>0</v>
      </c>
      <c r="AR25" s="75" t="s">
        <v>71</v>
      </c>
      <c r="AT25" s="75" t="s">
        <v>883</v>
      </c>
      <c r="AU25" s="75" t="s">
        <v>63</v>
      </c>
      <c r="AY25" s="47" t="s">
        <v>881</v>
      </c>
      <c r="BE25" s="76">
        <f>IF(N25="základní",J25,0)</f>
        <v>0</v>
      </c>
      <c r="BF25" s="76">
        <f>IF(N25="snížená",J25,0)</f>
        <v>0</v>
      </c>
      <c r="BG25" s="76">
        <f>IF(N25="zákl. přenesená",J25,0)</f>
        <v>0</v>
      </c>
      <c r="BH25" s="76">
        <f>IF(N25="sníž. přenesená",J25,0)</f>
        <v>0</v>
      </c>
      <c r="BI25" s="76">
        <f>IF(N25="nulová",J25,0)</f>
        <v>0</v>
      </c>
      <c r="BJ25" s="47" t="s">
        <v>51</v>
      </c>
      <c r="BK25" s="76">
        <f>ROUND(I25*H25,2)</f>
        <v>0</v>
      </c>
      <c r="BL25" s="47" t="s">
        <v>71</v>
      </c>
      <c r="BM25" s="75" t="s">
        <v>1629</v>
      </c>
    </row>
    <row r="26" spans="3:65" s="48" customFormat="1" ht="24.15" customHeight="1">
      <c r="C26" s="79" t="s">
        <v>85</v>
      </c>
      <c r="D26" s="79" t="s">
        <v>883</v>
      </c>
      <c r="E26" s="80" t="s">
        <v>1630</v>
      </c>
      <c r="F26" s="81" t="s">
        <v>1631</v>
      </c>
      <c r="G26" s="82" t="s">
        <v>54</v>
      </c>
      <c r="H26" s="83">
        <v>11</v>
      </c>
      <c r="I26" s="527"/>
      <c r="J26" s="84">
        <f>ROUND(I26*H26,2)</f>
        <v>0</v>
      </c>
      <c r="K26" s="521"/>
      <c r="L26" s="533" t="s">
        <v>2474</v>
      </c>
      <c r="M26" s="530" t="s">
        <v>854</v>
      </c>
      <c r="N26" s="72" t="s">
        <v>860</v>
      </c>
      <c r="O26" s="73">
        <v>0.72</v>
      </c>
      <c r="P26" s="73">
        <f>O26*H26</f>
        <v>7.92</v>
      </c>
      <c r="Q26" s="73">
        <v>0.08425</v>
      </c>
      <c r="R26" s="73">
        <f>Q26*H26</f>
        <v>0.9267500000000001</v>
      </c>
      <c r="S26" s="73">
        <v>0</v>
      </c>
      <c r="T26" s="74">
        <f>S26*H26</f>
        <v>0</v>
      </c>
      <c r="AR26" s="75" t="s">
        <v>71</v>
      </c>
      <c r="AT26" s="75" t="s">
        <v>883</v>
      </c>
      <c r="AU26" s="75" t="s">
        <v>63</v>
      </c>
      <c r="AY26" s="47" t="s">
        <v>881</v>
      </c>
      <c r="BE26" s="76">
        <f>IF(N26="základní",J26,0)</f>
        <v>0</v>
      </c>
      <c r="BF26" s="76">
        <f>IF(N26="snížená",J26,0)</f>
        <v>0</v>
      </c>
      <c r="BG26" s="76">
        <f>IF(N26="zákl. přenesená",J26,0)</f>
        <v>0</v>
      </c>
      <c r="BH26" s="76">
        <f>IF(N26="sníž. přenesená",J26,0)</f>
        <v>0</v>
      </c>
      <c r="BI26" s="76">
        <f>IF(N26="nulová",J26,0)</f>
        <v>0</v>
      </c>
      <c r="BJ26" s="47" t="s">
        <v>51</v>
      </c>
      <c r="BK26" s="76">
        <f>ROUND(I26*H26,2)</f>
        <v>0</v>
      </c>
      <c r="BL26" s="47" t="s">
        <v>71</v>
      </c>
      <c r="BM26" s="75" t="s">
        <v>1632</v>
      </c>
    </row>
    <row r="27" spans="3:65" s="48" customFormat="1" ht="16.5" customHeight="1">
      <c r="C27" s="85" t="s">
        <v>89</v>
      </c>
      <c r="D27" s="85" t="s">
        <v>201</v>
      </c>
      <c r="E27" s="86" t="s">
        <v>1633</v>
      </c>
      <c r="F27" s="87" t="s">
        <v>1634</v>
      </c>
      <c r="G27" s="88" t="s">
        <v>54</v>
      </c>
      <c r="H27" s="89">
        <v>1.1</v>
      </c>
      <c r="I27" s="528"/>
      <c r="J27" s="90">
        <f>ROUND(I27*H27,2)</f>
        <v>0</v>
      </c>
      <c r="K27" s="522"/>
      <c r="L27" s="533" t="s">
        <v>2474</v>
      </c>
      <c r="M27" s="531" t="s">
        <v>854</v>
      </c>
      <c r="N27" s="78" t="s">
        <v>860</v>
      </c>
      <c r="O27" s="73">
        <v>0</v>
      </c>
      <c r="P27" s="73">
        <f>O27*H27</f>
        <v>0</v>
      </c>
      <c r="Q27" s="73">
        <v>0.022</v>
      </c>
      <c r="R27" s="73">
        <f>Q27*H27</f>
        <v>0.0242</v>
      </c>
      <c r="S27" s="73">
        <v>0</v>
      </c>
      <c r="T27" s="74">
        <f>S27*H27</f>
        <v>0</v>
      </c>
      <c r="AR27" s="75" t="s">
        <v>94</v>
      </c>
      <c r="AT27" s="75" t="s">
        <v>201</v>
      </c>
      <c r="AU27" s="75" t="s">
        <v>63</v>
      </c>
      <c r="AY27" s="47" t="s">
        <v>881</v>
      </c>
      <c r="BE27" s="76">
        <f>IF(N27="základní",J27,0)</f>
        <v>0</v>
      </c>
      <c r="BF27" s="76">
        <f>IF(N27="snížená",J27,0)</f>
        <v>0</v>
      </c>
      <c r="BG27" s="76">
        <f>IF(N27="zákl. přenesená",J27,0)</f>
        <v>0</v>
      </c>
      <c r="BH27" s="76">
        <f>IF(N27="sníž. přenesená",J27,0)</f>
        <v>0</v>
      </c>
      <c r="BI27" s="76">
        <f>IF(N27="nulová",J27,0)</f>
        <v>0</v>
      </c>
      <c r="BJ27" s="47" t="s">
        <v>51</v>
      </c>
      <c r="BK27" s="76">
        <f>ROUND(I27*H27,2)</f>
        <v>0</v>
      </c>
      <c r="BL27" s="47" t="s">
        <v>71</v>
      </c>
      <c r="BM27" s="75" t="s">
        <v>1635</v>
      </c>
    </row>
    <row r="28" spans="4:63" s="64" customFormat="1" ht="25.95" customHeight="1">
      <c r="D28" s="65" t="s">
        <v>877</v>
      </c>
      <c r="E28" s="203" t="s">
        <v>1411</v>
      </c>
      <c r="F28" s="203" t="s">
        <v>1636</v>
      </c>
      <c r="J28" s="204">
        <f>BK28</f>
        <v>0</v>
      </c>
      <c r="P28" s="67">
        <f>P29+P65</f>
        <v>307.242</v>
      </c>
      <c r="R28" s="67">
        <f>R29+R65</f>
        <v>1.15768</v>
      </c>
      <c r="T28" s="68">
        <f>T29+T65</f>
        <v>0</v>
      </c>
      <c r="AR28" s="65" t="s">
        <v>63</v>
      </c>
      <c r="AT28" s="69" t="s">
        <v>877</v>
      </c>
      <c r="AU28" s="69" t="s">
        <v>880</v>
      </c>
      <c r="AY28" s="65" t="s">
        <v>881</v>
      </c>
      <c r="BK28" s="70">
        <f>BK29+BK65</f>
        <v>0</v>
      </c>
    </row>
    <row r="29" spans="4:63" s="64" customFormat="1" ht="22.95" customHeight="1">
      <c r="D29" s="65" t="s">
        <v>877</v>
      </c>
      <c r="E29" s="205" t="s">
        <v>1413</v>
      </c>
      <c r="F29" s="205" t="s">
        <v>1414</v>
      </c>
      <c r="J29" s="206">
        <f>BK29</f>
        <v>0</v>
      </c>
      <c r="P29" s="67">
        <f>SUM(P30:P64)</f>
        <v>208.994</v>
      </c>
      <c r="R29" s="67">
        <f>SUM(R30:R64)</f>
        <v>0.9488500000000001</v>
      </c>
      <c r="T29" s="68">
        <f>SUM(T30:T64)</f>
        <v>0</v>
      </c>
      <c r="AR29" s="65" t="s">
        <v>63</v>
      </c>
      <c r="AT29" s="69" t="s">
        <v>877</v>
      </c>
      <c r="AU29" s="69" t="s">
        <v>51</v>
      </c>
      <c r="AY29" s="65" t="s">
        <v>881</v>
      </c>
      <c r="BK29" s="70">
        <f>SUM(BK30:BK64)</f>
        <v>0</v>
      </c>
    </row>
    <row r="30" spans="3:65" s="48" customFormat="1" ht="24.15" customHeight="1">
      <c r="C30" s="79" t="s">
        <v>94</v>
      </c>
      <c r="D30" s="79" t="s">
        <v>883</v>
      </c>
      <c r="E30" s="80" t="s">
        <v>1637</v>
      </c>
      <c r="F30" s="81" t="s">
        <v>1638</v>
      </c>
      <c r="G30" s="82" t="s">
        <v>260</v>
      </c>
      <c r="H30" s="83">
        <v>1</v>
      </c>
      <c r="I30" s="527"/>
      <c r="J30" s="84">
        <f>ROUND(I30*H30,2)</f>
        <v>0</v>
      </c>
      <c r="K30" s="521"/>
      <c r="L30" s="533" t="s">
        <v>2130</v>
      </c>
      <c r="M30" s="530" t="s">
        <v>854</v>
      </c>
      <c r="N30" s="72" t="s">
        <v>860</v>
      </c>
      <c r="O30" s="73">
        <v>2.39</v>
      </c>
      <c r="P30" s="73">
        <f>O30*H30</f>
        <v>2.39</v>
      </c>
      <c r="Q30" s="73">
        <v>0</v>
      </c>
      <c r="R30" s="73">
        <f>Q30*H30</f>
        <v>0</v>
      </c>
      <c r="S30" s="73">
        <v>0</v>
      </c>
      <c r="T30" s="74">
        <f>S30*H30</f>
        <v>0</v>
      </c>
      <c r="AR30" s="75" t="s">
        <v>363</v>
      </c>
      <c r="AT30" s="75" t="s">
        <v>883</v>
      </c>
      <c r="AU30" s="75" t="s">
        <v>63</v>
      </c>
      <c r="AY30" s="47" t="s">
        <v>881</v>
      </c>
      <c r="BE30" s="76">
        <f>IF(N30="základní",J30,0)</f>
        <v>0</v>
      </c>
      <c r="BF30" s="76">
        <f>IF(N30="snížená",J30,0)</f>
        <v>0</v>
      </c>
      <c r="BG30" s="76">
        <f>IF(N30="zákl. přenesená",J30,0)</f>
        <v>0</v>
      </c>
      <c r="BH30" s="76">
        <f>IF(N30="sníž. přenesená",J30,0)</f>
        <v>0</v>
      </c>
      <c r="BI30" s="76">
        <f>IF(N30="nulová",J30,0)</f>
        <v>0</v>
      </c>
      <c r="BJ30" s="47" t="s">
        <v>51</v>
      </c>
      <c r="BK30" s="76">
        <f>ROUND(I30*H30,2)</f>
        <v>0</v>
      </c>
      <c r="BL30" s="47" t="s">
        <v>363</v>
      </c>
      <c r="BM30" s="75" t="s">
        <v>1639</v>
      </c>
    </row>
    <row r="31" spans="3:65" s="48" customFormat="1" ht="24.15" customHeight="1">
      <c r="C31" s="79" t="s">
        <v>98</v>
      </c>
      <c r="D31" s="79" t="s">
        <v>883</v>
      </c>
      <c r="E31" s="80" t="s">
        <v>1415</v>
      </c>
      <c r="F31" s="81" t="s">
        <v>1416</v>
      </c>
      <c r="G31" s="82" t="s">
        <v>74</v>
      </c>
      <c r="H31" s="83">
        <v>452</v>
      </c>
      <c r="I31" s="527"/>
      <c r="J31" s="84">
        <f>ROUND(I31*H31,2)</f>
        <v>0</v>
      </c>
      <c r="K31" s="521"/>
      <c r="L31" s="533" t="s">
        <v>2130</v>
      </c>
      <c r="M31" s="530" t="s">
        <v>854</v>
      </c>
      <c r="N31" s="72" t="s">
        <v>860</v>
      </c>
      <c r="O31" s="73">
        <v>0.131</v>
      </c>
      <c r="P31" s="73">
        <f>O31*H31</f>
        <v>59.212</v>
      </c>
      <c r="Q31" s="73">
        <v>0</v>
      </c>
      <c r="R31" s="73">
        <f>Q31*H31</f>
        <v>0</v>
      </c>
      <c r="S31" s="73">
        <v>0</v>
      </c>
      <c r="T31" s="74">
        <f>S31*H31</f>
        <v>0</v>
      </c>
      <c r="AR31" s="75" t="s">
        <v>92</v>
      </c>
      <c r="AT31" s="75" t="s">
        <v>883</v>
      </c>
      <c r="AU31" s="75" t="s">
        <v>63</v>
      </c>
      <c r="AY31" s="47" t="s">
        <v>881</v>
      </c>
      <c r="BE31" s="76">
        <f>IF(N31="základní",J31,0)</f>
        <v>0</v>
      </c>
      <c r="BF31" s="76">
        <f>IF(N31="snížená",J31,0)</f>
        <v>0</v>
      </c>
      <c r="BG31" s="76">
        <f>IF(N31="zákl. přenesená",J31,0)</f>
        <v>0</v>
      </c>
      <c r="BH31" s="76">
        <f>IF(N31="sníž. přenesená",J31,0)</f>
        <v>0</v>
      </c>
      <c r="BI31" s="76">
        <f>IF(N31="nulová",J31,0)</f>
        <v>0</v>
      </c>
      <c r="BJ31" s="47" t="s">
        <v>51</v>
      </c>
      <c r="BK31" s="76">
        <f>ROUND(I31*H31,2)</f>
        <v>0</v>
      </c>
      <c r="BL31" s="47" t="s">
        <v>92</v>
      </c>
      <c r="BM31" s="75" t="s">
        <v>1640</v>
      </c>
    </row>
    <row r="32" spans="3:65" s="48" customFormat="1" ht="24.15" customHeight="1">
      <c r="C32" s="85" t="s">
        <v>104</v>
      </c>
      <c r="D32" s="85" t="s">
        <v>201</v>
      </c>
      <c r="E32" s="86" t="s">
        <v>1423</v>
      </c>
      <c r="F32" s="87" t="s">
        <v>1424</v>
      </c>
      <c r="G32" s="88" t="s">
        <v>74</v>
      </c>
      <c r="H32" s="89">
        <v>452</v>
      </c>
      <c r="I32" s="528"/>
      <c r="J32" s="90">
        <f>ROUND(I32*H32,2)</f>
        <v>0</v>
      </c>
      <c r="K32" s="522"/>
      <c r="L32" s="533" t="s">
        <v>2130</v>
      </c>
      <c r="M32" s="531" t="s">
        <v>854</v>
      </c>
      <c r="N32" s="78" t="s">
        <v>860</v>
      </c>
      <c r="O32" s="73">
        <v>0</v>
      </c>
      <c r="P32" s="73">
        <f>O32*H32</f>
        <v>0</v>
      </c>
      <c r="Q32" s="73">
        <v>0.00035</v>
      </c>
      <c r="R32" s="73">
        <f>Q32*H32</f>
        <v>0.1582</v>
      </c>
      <c r="S32" s="73">
        <v>0</v>
      </c>
      <c r="T32" s="74">
        <f>S32*H32</f>
        <v>0</v>
      </c>
      <c r="AR32" s="75" t="s">
        <v>221</v>
      </c>
      <c r="AT32" s="75" t="s">
        <v>201</v>
      </c>
      <c r="AU32" s="75" t="s">
        <v>63</v>
      </c>
      <c r="AY32" s="47" t="s">
        <v>881</v>
      </c>
      <c r="BE32" s="76">
        <f>IF(N32="základní",J32,0)</f>
        <v>0</v>
      </c>
      <c r="BF32" s="76">
        <f>IF(N32="snížená",J32,0)</f>
        <v>0</v>
      </c>
      <c r="BG32" s="76">
        <f>IF(N32="zákl. přenesená",J32,0)</f>
        <v>0</v>
      </c>
      <c r="BH32" s="76">
        <f>IF(N32="sníž. přenesená",J32,0)</f>
        <v>0</v>
      </c>
      <c r="BI32" s="76">
        <f>IF(N32="nulová",J32,0)</f>
        <v>0</v>
      </c>
      <c r="BJ32" s="47" t="s">
        <v>51</v>
      </c>
      <c r="BK32" s="76">
        <f>ROUND(I32*H32,2)</f>
        <v>0</v>
      </c>
      <c r="BL32" s="47" t="s">
        <v>92</v>
      </c>
      <c r="BM32" s="75" t="s">
        <v>1641</v>
      </c>
    </row>
    <row r="33" spans="4:51" s="95" customFormat="1" ht="10.2">
      <c r="D33" s="207" t="s">
        <v>1418</v>
      </c>
      <c r="E33" s="96" t="s">
        <v>854</v>
      </c>
      <c r="F33" s="208" t="s">
        <v>1642</v>
      </c>
      <c r="H33" s="209">
        <v>410</v>
      </c>
      <c r="T33" s="97"/>
      <c r="AT33" s="96" t="s">
        <v>1418</v>
      </c>
      <c r="AU33" s="96" t="s">
        <v>63</v>
      </c>
      <c r="AV33" s="95" t="s">
        <v>63</v>
      </c>
      <c r="AW33" s="95" t="s">
        <v>1420</v>
      </c>
      <c r="AX33" s="95" t="s">
        <v>880</v>
      </c>
      <c r="AY33" s="96" t="s">
        <v>881</v>
      </c>
    </row>
    <row r="34" spans="4:51" s="95" customFormat="1" ht="10.2">
      <c r="D34" s="207" t="s">
        <v>1418</v>
      </c>
      <c r="E34" s="96" t="s">
        <v>854</v>
      </c>
      <c r="F34" s="208" t="s">
        <v>1643</v>
      </c>
      <c r="H34" s="209">
        <v>30</v>
      </c>
      <c r="T34" s="97"/>
      <c r="AT34" s="96" t="s">
        <v>1418</v>
      </c>
      <c r="AU34" s="96" t="s">
        <v>63</v>
      </c>
      <c r="AV34" s="95" t="s">
        <v>63</v>
      </c>
      <c r="AW34" s="95" t="s">
        <v>1420</v>
      </c>
      <c r="AX34" s="95" t="s">
        <v>880</v>
      </c>
      <c r="AY34" s="96" t="s">
        <v>881</v>
      </c>
    </row>
    <row r="35" spans="4:51" s="95" customFormat="1" ht="10.2">
      <c r="D35" s="207" t="s">
        <v>1418</v>
      </c>
      <c r="E35" s="96" t="s">
        <v>854</v>
      </c>
      <c r="F35" s="208" t="s">
        <v>1644</v>
      </c>
      <c r="H35" s="209">
        <v>12</v>
      </c>
      <c r="T35" s="97"/>
      <c r="AT35" s="96" t="s">
        <v>1418</v>
      </c>
      <c r="AU35" s="96" t="s">
        <v>63</v>
      </c>
      <c r="AV35" s="95" t="s">
        <v>63</v>
      </c>
      <c r="AW35" s="95" t="s">
        <v>1420</v>
      </c>
      <c r="AX35" s="95" t="s">
        <v>880</v>
      </c>
      <c r="AY35" s="96" t="s">
        <v>881</v>
      </c>
    </row>
    <row r="36" spans="3:65" s="48" customFormat="1" ht="24.15" customHeight="1">
      <c r="C36" s="79" t="s">
        <v>49</v>
      </c>
      <c r="D36" s="79" t="s">
        <v>883</v>
      </c>
      <c r="E36" s="80" t="s">
        <v>1426</v>
      </c>
      <c r="F36" s="81" t="s">
        <v>1427</v>
      </c>
      <c r="G36" s="82" t="s">
        <v>74</v>
      </c>
      <c r="H36" s="83">
        <v>484</v>
      </c>
      <c r="I36" s="527"/>
      <c r="J36" s="84">
        <f>ROUND(I36*H36,2)</f>
        <v>0</v>
      </c>
      <c r="K36" s="521"/>
      <c r="L36" s="533" t="s">
        <v>2474</v>
      </c>
      <c r="M36" s="530" t="s">
        <v>854</v>
      </c>
      <c r="N36" s="72" t="s">
        <v>860</v>
      </c>
      <c r="O36" s="73">
        <v>0.068</v>
      </c>
      <c r="P36" s="73">
        <f>O36*H36</f>
        <v>32.912</v>
      </c>
      <c r="Q36" s="73">
        <v>0</v>
      </c>
      <c r="R36" s="73">
        <f>Q36*H36</f>
        <v>0</v>
      </c>
      <c r="S36" s="73">
        <v>0</v>
      </c>
      <c r="T36" s="74">
        <f>S36*H36</f>
        <v>0</v>
      </c>
      <c r="AR36" s="75" t="s">
        <v>92</v>
      </c>
      <c r="AT36" s="75" t="s">
        <v>883</v>
      </c>
      <c r="AU36" s="75" t="s">
        <v>63</v>
      </c>
      <c r="AY36" s="47" t="s">
        <v>881</v>
      </c>
      <c r="BE36" s="76">
        <f>IF(N36="základní",J36,0)</f>
        <v>0</v>
      </c>
      <c r="BF36" s="76">
        <f>IF(N36="snížená",J36,0)</f>
        <v>0</v>
      </c>
      <c r="BG36" s="76">
        <f>IF(N36="zákl. přenesená",J36,0)</f>
        <v>0</v>
      </c>
      <c r="BH36" s="76">
        <f>IF(N36="sníž. přenesená",J36,0)</f>
        <v>0</v>
      </c>
      <c r="BI36" s="76">
        <f>IF(N36="nulová",J36,0)</f>
        <v>0</v>
      </c>
      <c r="BJ36" s="47" t="s">
        <v>51</v>
      </c>
      <c r="BK36" s="76">
        <f>ROUND(I36*H36,2)</f>
        <v>0</v>
      </c>
      <c r="BL36" s="47" t="s">
        <v>92</v>
      </c>
      <c r="BM36" s="75" t="s">
        <v>1645</v>
      </c>
    </row>
    <row r="37" spans="4:51" s="95" customFormat="1" ht="10.2">
      <c r="D37" s="207" t="s">
        <v>1418</v>
      </c>
      <c r="E37" s="96" t="s">
        <v>854</v>
      </c>
      <c r="F37" s="208" t="s">
        <v>1642</v>
      </c>
      <c r="H37" s="209">
        <v>410</v>
      </c>
      <c r="T37" s="97"/>
      <c r="AT37" s="96" t="s">
        <v>1418</v>
      </c>
      <c r="AU37" s="96" t="s">
        <v>63</v>
      </c>
      <c r="AV37" s="95" t="s">
        <v>63</v>
      </c>
      <c r="AW37" s="95" t="s">
        <v>1420</v>
      </c>
      <c r="AX37" s="95" t="s">
        <v>880</v>
      </c>
      <c r="AY37" s="96" t="s">
        <v>881</v>
      </c>
    </row>
    <row r="38" spans="4:51" s="95" customFormat="1" ht="10.2">
      <c r="D38" s="207" t="s">
        <v>1418</v>
      </c>
      <c r="E38" s="96" t="s">
        <v>854</v>
      </c>
      <c r="F38" s="208" t="s">
        <v>1646</v>
      </c>
      <c r="H38" s="209">
        <v>50</v>
      </c>
      <c r="T38" s="97"/>
      <c r="AT38" s="96" t="s">
        <v>1418</v>
      </c>
      <c r="AU38" s="96" t="s">
        <v>63</v>
      </c>
      <c r="AV38" s="95" t="s">
        <v>63</v>
      </c>
      <c r="AW38" s="95" t="s">
        <v>1420</v>
      </c>
      <c r="AX38" s="95" t="s">
        <v>880</v>
      </c>
      <c r="AY38" s="96" t="s">
        <v>881</v>
      </c>
    </row>
    <row r="39" spans="4:51" s="95" customFormat="1" ht="10.2">
      <c r="D39" s="207" t="s">
        <v>1418</v>
      </c>
      <c r="E39" s="96" t="s">
        <v>854</v>
      </c>
      <c r="F39" s="208" t="s">
        <v>1647</v>
      </c>
      <c r="H39" s="209">
        <v>24</v>
      </c>
      <c r="T39" s="97"/>
      <c r="AT39" s="96" t="s">
        <v>1418</v>
      </c>
      <c r="AU39" s="96" t="s">
        <v>63</v>
      </c>
      <c r="AV39" s="95" t="s">
        <v>63</v>
      </c>
      <c r="AW39" s="95" t="s">
        <v>1420</v>
      </c>
      <c r="AX39" s="95" t="s">
        <v>880</v>
      </c>
      <c r="AY39" s="96" t="s">
        <v>881</v>
      </c>
    </row>
    <row r="40" spans="3:65" s="48" customFormat="1" ht="16.5" customHeight="1">
      <c r="C40" s="85" t="s">
        <v>76</v>
      </c>
      <c r="D40" s="85" t="s">
        <v>201</v>
      </c>
      <c r="E40" s="86" t="s">
        <v>1431</v>
      </c>
      <c r="F40" s="87" t="s">
        <v>1432</v>
      </c>
      <c r="G40" s="88" t="s">
        <v>74</v>
      </c>
      <c r="H40" s="89">
        <v>484</v>
      </c>
      <c r="I40" s="528"/>
      <c r="J40" s="90">
        <f>ROUND(I40*H40,2)</f>
        <v>0</v>
      </c>
      <c r="K40" s="522"/>
      <c r="L40" s="533" t="s">
        <v>2474</v>
      </c>
      <c r="M40" s="531" t="s">
        <v>854</v>
      </c>
      <c r="N40" s="78" t="s">
        <v>860</v>
      </c>
      <c r="O40" s="73">
        <v>0</v>
      </c>
      <c r="P40" s="73">
        <f>O40*H40</f>
        <v>0</v>
      </c>
      <c r="Q40" s="73">
        <v>0.00091</v>
      </c>
      <c r="R40" s="73">
        <f>Q40*H40</f>
        <v>0.44044</v>
      </c>
      <c r="S40" s="73">
        <v>0</v>
      </c>
      <c r="T40" s="74">
        <f>S40*H40</f>
        <v>0</v>
      </c>
      <c r="AR40" s="75" t="s">
        <v>221</v>
      </c>
      <c r="AT40" s="75" t="s">
        <v>201</v>
      </c>
      <c r="AU40" s="75" t="s">
        <v>63</v>
      </c>
      <c r="AY40" s="47" t="s">
        <v>881</v>
      </c>
      <c r="BE40" s="76">
        <f>IF(N40="základní",J40,0)</f>
        <v>0</v>
      </c>
      <c r="BF40" s="76">
        <f>IF(N40="snížená",J40,0)</f>
        <v>0</v>
      </c>
      <c r="BG40" s="76">
        <f>IF(N40="zákl. přenesená",J40,0)</f>
        <v>0</v>
      </c>
      <c r="BH40" s="76">
        <f>IF(N40="sníž. přenesená",J40,0)</f>
        <v>0</v>
      </c>
      <c r="BI40" s="76">
        <f>IF(N40="nulová",J40,0)</f>
        <v>0</v>
      </c>
      <c r="BJ40" s="47" t="s">
        <v>51</v>
      </c>
      <c r="BK40" s="76">
        <f>ROUND(I40*H40,2)</f>
        <v>0</v>
      </c>
      <c r="BL40" s="47" t="s">
        <v>92</v>
      </c>
      <c r="BM40" s="75" t="s">
        <v>1648</v>
      </c>
    </row>
    <row r="41" spans="3:65" s="48" customFormat="1" ht="24.15" customHeight="1">
      <c r="C41" s="79" t="s">
        <v>75</v>
      </c>
      <c r="D41" s="79" t="s">
        <v>883</v>
      </c>
      <c r="E41" s="80" t="s">
        <v>1649</v>
      </c>
      <c r="F41" s="81" t="s">
        <v>1650</v>
      </c>
      <c r="G41" s="82" t="s">
        <v>74</v>
      </c>
      <c r="H41" s="83">
        <v>16</v>
      </c>
      <c r="I41" s="527"/>
      <c r="J41" s="84">
        <f>ROUND(I41*H41,2)</f>
        <v>0</v>
      </c>
      <c r="K41" s="521"/>
      <c r="L41" s="533" t="s">
        <v>2474</v>
      </c>
      <c r="M41" s="530" t="s">
        <v>854</v>
      </c>
      <c r="N41" s="72" t="s">
        <v>860</v>
      </c>
      <c r="O41" s="73">
        <v>0.106</v>
      </c>
      <c r="P41" s="73">
        <f>O41*H41</f>
        <v>1.696</v>
      </c>
      <c r="Q41" s="73">
        <v>0</v>
      </c>
      <c r="R41" s="73">
        <f>Q41*H41</f>
        <v>0</v>
      </c>
      <c r="S41" s="73">
        <v>0</v>
      </c>
      <c r="T41" s="74">
        <f>S41*H41</f>
        <v>0</v>
      </c>
      <c r="AR41" s="75" t="s">
        <v>92</v>
      </c>
      <c r="AT41" s="75" t="s">
        <v>883</v>
      </c>
      <c r="AU41" s="75" t="s">
        <v>63</v>
      </c>
      <c r="AY41" s="47" t="s">
        <v>881</v>
      </c>
      <c r="BE41" s="76">
        <f>IF(N41="základní",J41,0)</f>
        <v>0</v>
      </c>
      <c r="BF41" s="76">
        <f>IF(N41="snížená",J41,0)</f>
        <v>0</v>
      </c>
      <c r="BG41" s="76">
        <f>IF(N41="zákl. přenesená",J41,0)</f>
        <v>0</v>
      </c>
      <c r="BH41" s="76">
        <f>IF(N41="sníž. přenesená",J41,0)</f>
        <v>0</v>
      </c>
      <c r="BI41" s="76">
        <f>IF(N41="nulová",J41,0)</f>
        <v>0</v>
      </c>
      <c r="BJ41" s="47" t="s">
        <v>51</v>
      </c>
      <c r="BK41" s="76">
        <f>ROUND(I41*H41,2)</f>
        <v>0</v>
      </c>
      <c r="BL41" s="47" t="s">
        <v>92</v>
      </c>
      <c r="BM41" s="75" t="s">
        <v>1651</v>
      </c>
    </row>
    <row r="42" spans="3:65" s="48" customFormat="1" ht="24.15" customHeight="1">
      <c r="C42" s="85" t="s">
        <v>128</v>
      </c>
      <c r="D42" s="85" t="s">
        <v>201</v>
      </c>
      <c r="E42" s="86" t="s">
        <v>1652</v>
      </c>
      <c r="F42" s="87" t="s">
        <v>1653</v>
      </c>
      <c r="G42" s="88" t="s">
        <v>74</v>
      </c>
      <c r="H42" s="89">
        <v>16</v>
      </c>
      <c r="I42" s="528"/>
      <c r="J42" s="90">
        <f>ROUND(I42*H42,2)</f>
        <v>0</v>
      </c>
      <c r="K42" s="522"/>
      <c r="L42" s="533" t="s">
        <v>2474</v>
      </c>
      <c r="M42" s="531" t="s">
        <v>854</v>
      </c>
      <c r="N42" s="78" t="s">
        <v>860</v>
      </c>
      <c r="O42" s="73">
        <v>0</v>
      </c>
      <c r="P42" s="73">
        <f>O42*H42</f>
        <v>0</v>
      </c>
      <c r="Q42" s="73">
        <v>0.00191</v>
      </c>
      <c r="R42" s="73">
        <f>Q42*H42</f>
        <v>0.03056</v>
      </c>
      <c r="S42" s="73">
        <v>0</v>
      </c>
      <c r="T42" s="74">
        <f>S42*H42</f>
        <v>0</v>
      </c>
      <c r="AR42" s="75" t="s">
        <v>221</v>
      </c>
      <c r="AT42" s="75" t="s">
        <v>201</v>
      </c>
      <c r="AU42" s="75" t="s">
        <v>63</v>
      </c>
      <c r="AY42" s="47" t="s">
        <v>881</v>
      </c>
      <c r="BE42" s="76">
        <f>IF(N42="základní",J42,0)</f>
        <v>0</v>
      </c>
      <c r="BF42" s="76">
        <f>IF(N42="snížená",J42,0)</f>
        <v>0</v>
      </c>
      <c r="BG42" s="76">
        <f>IF(N42="zákl. přenesená",J42,0)</f>
        <v>0</v>
      </c>
      <c r="BH42" s="76">
        <f>IF(N42="sníž. přenesená",J42,0)</f>
        <v>0</v>
      </c>
      <c r="BI42" s="76">
        <f>IF(N42="nulová",J42,0)</f>
        <v>0</v>
      </c>
      <c r="BJ42" s="47" t="s">
        <v>51</v>
      </c>
      <c r="BK42" s="76">
        <f>ROUND(I42*H42,2)</f>
        <v>0</v>
      </c>
      <c r="BL42" s="47" t="s">
        <v>92</v>
      </c>
      <c r="BM42" s="75" t="s">
        <v>1654</v>
      </c>
    </row>
    <row r="43" spans="4:51" s="95" customFormat="1" ht="10.2">
      <c r="D43" s="207" t="s">
        <v>1418</v>
      </c>
      <c r="F43" s="208" t="s">
        <v>1655</v>
      </c>
      <c r="H43" s="209">
        <v>16</v>
      </c>
      <c r="T43" s="97"/>
      <c r="AT43" s="96" t="s">
        <v>1418</v>
      </c>
      <c r="AU43" s="96" t="s">
        <v>63</v>
      </c>
      <c r="AV43" s="95" t="s">
        <v>63</v>
      </c>
      <c r="AW43" s="95" t="s">
        <v>850</v>
      </c>
      <c r="AX43" s="95" t="s">
        <v>51</v>
      </c>
      <c r="AY43" s="96" t="s">
        <v>881</v>
      </c>
    </row>
    <row r="44" spans="3:65" s="48" customFormat="1" ht="24.15" customHeight="1">
      <c r="C44" s="79" t="s">
        <v>66</v>
      </c>
      <c r="D44" s="79" t="s">
        <v>883</v>
      </c>
      <c r="E44" s="80" t="s">
        <v>1434</v>
      </c>
      <c r="F44" s="81" t="s">
        <v>1435</v>
      </c>
      <c r="G44" s="82" t="s">
        <v>260</v>
      </c>
      <c r="H44" s="83">
        <v>32</v>
      </c>
      <c r="I44" s="527"/>
      <c r="J44" s="84">
        <f>ROUND(I44*H44,2)</f>
        <v>0</v>
      </c>
      <c r="K44" s="521"/>
      <c r="L44" s="533" t="s">
        <v>2474</v>
      </c>
      <c r="M44" s="530" t="s">
        <v>854</v>
      </c>
      <c r="N44" s="72" t="s">
        <v>860</v>
      </c>
      <c r="O44" s="73">
        <v>0.382</v>
      </c>
      <c r="P44" s="73">
        <f>O44*H44</f>
        <v>12.224</v>
      </c>
      <c r="Q44" s="73">
        <v>0</v>
      </c>
      <c r="R44" s="73">
        <f>Q44*H44</f>
        <v>0</v>
      </c>
      <c r="S44" s="73">
        <v>0</v>
      </c>
      <c r="T44" s="74">
        <f>S44*H44</f>
        <v>0</v>
      </c>
      <c r="AR44" s="75" t="s">
        <v>92</v>
      </c>
      <c r="AT44" s="75" t="s">
        <v>883</v>
      </c>
      <c r="AU44" s="75" t="s">
        <v>63</v>
      </c>
      <c r="AY44" s="47" t="s">
        <v>881</v>
      </c>
      <c r="BE44" s="76">
        <f>IF(N44="základní",J44,0)</f>
        <v>0</v>
      </c>
      <c r="BF44" s="76">
        <f>IF(N44="snížená",J44,0)</f>
        <v>0</v>
      </c>
      <c r="BG44" s="76">
        <f>IF(N44="zákl. přenesená",J44,0)</f>
        <v>0</v>
      </c>
      <c r="BH44" s="76">
        <f>IF(N44="sníž. přenesená",J44,0)</f>
        <v>0</v>
      </c>
      <c r="BI44" s="76">
        <f>IF(N44="nulová",J44,0)</f>
        <v>0</v>
      </c>
      <c r="BJ44" s="47" t="s">
        <v>51</v>
      </c>
      <c r="BK44" s="76">
        <f>ROUND(I44*H44,2)</f>
        <v>0</v>
      </c>
      <c r="BL44" s="47" t="s">
        <v>92</v>
      </c>
      <c r="BM44" s="75" t="s">
        <v>1656</v>
      </c>
    </row>
    <row r="45" spans="3:65" s="48" customFormat="1" ht="24.15" customHeight="1">
      <c r="C45" s="79" t="s">
        <v>92</v>
      </c>
      <c r="D45" s="79" t="s">
        <v>883</v>
      </c>
      <c r="E45" s="80" t="s">
        <v>1657</v>
      </c>
      <c r="F45" s="81" t="s">
        <v>1658</v>
      </c>
      <c r="G45" s="82" t="s">
        <v>260</v>
      </c>
      <c r="H45" s="83">
        <v>2</v>
      </c>
      <c r="I45" s="527"/>
      <c r="J45" s="84">
        <f>ROUND(I45*H45,2)</f>
        <v>0</v>
      </c>
      <c r="K45" s="521"/>
      <c r="L45" s="533" t="s">
        <v>2474</v>
      </c>
      <c r="M45" s="530" t="s">
        <v>854</v>
      </c>
      <c r="N45" s="72" t="s">
        <v>860</v>
      </c>
      <c r="O45" s="73">
        <v>0.711</v>
      </c>
      <c r="P45" s="73">
        <f>O45*H45</f>
        <v>1.422</v>
      </c>
      <c r="Q45" s="73">
        <v>0</v>
      </c>
      <c r="R45" s="73">
        <f>Q45*H45</f>
        <v>0</v>
      </c>
      <c r="S45" s="73">
        <v>0</v>
      </c>
      <c r="T45" s="74">
        <f>S45*H45</f>
        <v>0</v>
      </c>
      <c r="AR45" s="75" t="s">
        <v>92</v>
      </c>
      <c r="AT45" s="75" t="s">
        <v>883</v>
      </c>
      <c r="AU45" s="75" t="s">
        <v>63</v>
      </c>
      <c r="AY45" s="47" t="s">
        <v>881</v>
      </c>
      <c r="BE45" s="76">
        <f>IF(N45="základní",J45,0)</f>
        <v>0</v>
      </c>
      <c r="BF45" s="76">
        <f>IF(N45="snížená",J45,0)</f>
        <v>0</v>
      </c>
      <c r="BG45" s="76">
        <f>IF(N45="zákl. přenesená",J45,0)</f>
        <v>0</v>
      </c>
      <c r="BH45" s="76">
        <f>IF(N45="sníž. přenesená",J45,0)</f>
        <v>0</v>
      </c>
      <c r="BI45" s="76">
        <f>IF(N45="nulová",J45,0)</f>
        <v>0</v>
      </c>
      <c r="BJ45" s="47" t="s">
        <v>51</v>
      </c>
      <c r="BK45" s="76">
        <f>ROUND(I45*H45,2)</f>
        <v>0</v>
      </c>
      <c r="BL45" s="47" t="s">
        <v>92</v>
      </c>
      <c r="BM45" s="75" t="s">
        <v>1659</v>
      </c>
    </row>
    <row r="46" spans="3:65" s="48" customFormat="1" ht="24.15" customHeight="1">
      <c r="C46" s="79" t="s">
        <v>102</v>
      </c>
      <c r="D46" s="79" t="s">
        <v>883</v>
      </c>
      <c r="E46" s="80" t="s">
        <v>1437</v>
      </c>
      <c r="F46" s="81" t="s">
        <v>1438</v>
      </c>
      <c r="G46" s="82" t="s">
        <v>74</v>
      </c>
      <c r="H46" s="83">
        <v>434</v>
      </c>
      <c r="I46" s="527"/>
      <c r="J46" s="84">
        <f>ROUND(I46*H46,2)</f>
        <v>0</v>
      </c>
      <c r="K46" s="521"/>
      <c r="L46" s="533" t="s">
        <v>2474</v>
      </c>
      <c r="M46" s="530" t="s">
        <v>854</v>
      </c>
      <c r="N46" s="72" t="s">
        <v>860</v>
      </c>
      <c r="O46" s="73">
        <v>0.123</v>
      </c>
      <c r="P46" s="73">
        <f>O46*H46</f>
        <v>53.382</v>
      </c>
      <c r="Q46" s="73">
        <v>0</v>
      </c>
      <c r="R46" s="73">
        <f>Q46*H46</f>
        <v>0</v>
      </c>
      <c r="S46" s="73">
        <v>0</v>
      </c>
      <c r="T46" s="74">
        <f>S46*H46</f>
        <v>0</v>
      </c>
      <c r="AR46" s="75" t="s">
        <v>92</v>
      </c>
      <c r="AT46" s="75" t="s">
        <v>883</v>
      </c>
      <c r="AU46" s="75" t="s">
        <v>63</v>
      </c>
      <c r="AY46" s="47" t="s">
        <v>881</v>
      </c>
      <c r="BE46" s="76">
        <f>IF(N46="základní",J46,0)</f>
        <v>0</v>
      </c>
      <c r="BF46" s="76">
        <f>IF(N46="snížená",J46,0)</f>
        <v>0</v>
      </c>
      <c r="BG46" s="76">
        <f>IF(N46="zákl. přenesená",J46,0)</f>
        <v>0</v>
      </c>
      <c r="BH46" s="76">
        <f>IF(N46="sníž. přenesená",J46,0)</f>
        <v>0</v>
      </c>
      <c r="BI46" s="76">
        <f>IF(N46="nulová",J46,0)</f>
        <v>0</v>
      </c>
      <c r="BJ46" s="47" t="s">
        <v>51</v>
      </c>
      <c r="BK46" s="76">
        <f>ROUND(I46*H46,2)</f>
        <v>0</v>
      </c>
      <c r="BL46" s="47" t="s">
        <v>92</v>
      </c>
      <c r="BM46" s="75" t="s">
        <v>1660</v>
      </c>
    </row>
    <row r="47" spans="4:51" s="95" customFormat="1" ht="10.2">
      <c r="D47" s="207" t="s">
        <v>1418</v>
      </c>
      <c r="E47" s="96" t="s">
        <v>854</v>
      </c>
      <c r="F47" s="208" t="s">
        <v>1642</v>
      </c>
      <c r="H47" s="209">
        <v>410</v>
      </c>
      <c r="T47" s="97"/>
      <c r="AT47" s="96" t="s">
        <v>1418</v>
      </c>
      <c r="AU47" s="96" t="s">
        <v>63</v>
      </c>
      <c r="AV47" s="95" t="s">
        <v>63</v>
      </c>
      <c r="AW47" s="95" t="s">
        <v>1420</v>
      </c>
      <c r="AX47" s="95" t="s">
        <v>880</v>
      </c>
      <c r="AY47" s="96" t="s">
        <v>881</v>
      </c>
    </row>
    <row r="48" spans="4:51" s="95" customFormat="1" ht="10.2">
      <c r="D48" s="207" t="s">
        <v>1418</v>
      </c>
      <c r="E48" s="96" t="s">
        <v>854</v>
      </c>
      <c r="F48" s="208" t="s">
        <v>1661</v>
      </c>
      <c r="H48" s="209">
        <v>20</v>
      </c>
      <c r="T48" s="97"/>
      <c r="AT48" s="96" t="s">
        <v>1418</v>
      </c>
      <c r="AU48" s="96" t="s">
        <v>63</v>
      </c>
      <c r="AV48" s="95" t="s">
        <v>63</v>
      </c>
      <c r="AW48" s="95" t="s">
        <v>1420</v>
      </c>
      <c r="AX48" s="95" t="s">
        <v>880</v>
      </c>
      <c r="AY48" s="96" t="s">
        <v>881</v>
      </c>
    </row>
    <row r="49" spans="4:51" s="95" customFormat="1" ht="10.2">
      <c r="D49" s="207" t="s">
        <v>1418</v>
      </c>
      <c r="E49" s="96" t="s">
        <v>854</v>
      </c>
      <c r="F49" s="208" t="s">
        <v>1662</v>
      </c>
      <c r="H49" s="209">
        <v>4</v>
      </c>
      <c r="T49" s="97"/>
      <c r="AT49" s="96" t="s">
        <v>1418</v>
      </c>
      <c r="AU49" s="96" t="s">
        <v>63</v>
      </c>
      <c r="AV49" s="95" t="s">
        <v>63</v>
      </c>
      <c r="AW49" s="95" t="s">
        <v>1420</v>
      </c>
      <c r="AX49" s="95" t="s">
        <v>880</v>
      </c>
      <c r="AY49" s="96" t="s">
        <v>881</v>
      </c>
    </row>
    <row r="50" spans="3:65" s="48" customFormat="1" ht="16.5" customHeight="1">
      <c r="C50" s="85" t="s">
        <v>114</v>
      </c>
      <c r="D50" s="85" t="s">
        <v>201</v>
      </c>
      <c r="E50" s="86" t="s">
        <v>1441</v>
      </c>
      <c r="F50" s="87" t="s">
        <v>1442</v>
      </c>
      <c r="G50" s="88" t="s">
        <v>1443</v>
      </c>
      <c r="H50" s="89">
        <v>269.08</v>
      </c>
      <c r="I50" s="528"/>
      <c r="J50" s="90">
        <f>ROUND(I50*H50,2)</f>
        <v>0</v>
      </c>
      <c r="K50" s="522"/>
      <c r="L50" s="533" t="s">
        <v>2474</v>
      </c>
      <c r="M50" s="531" t="s">
        <v>854</v>
      </c>
      <c r="N50" s="78" t="s">
        <v>860</v>
      </c>
      <c r="O50" s="73">
        <v>0</v>
      </c>
      <c r="P50" s="73">
        <f>O50*H50</f>
        <v>0</v>
      </c>
      <c r="Q50" s="73">
        <v>0.001</v>
      </c>
      <c r="R50" s="73">
        <f>Q50*H50</f>
        <v>0.26908</v>
      </c>
      <c r="S50" s="73">
        <v>0</v>
      </c>
      <c r="T50" s="74">
        <f>S50*H50</f>
        <v>0</v>
      </c>
      <c r="AR50" s="75" t="s">
        <v>1444</v>
      </c>
      <c r="AT50" s="75" t="s">
        <v>201</v>
      </c>
      <c r="AU50" s="75" t="s">
        <v>63</v>
      </c>
      <c r="AY50" s="47" t="s">
        <v>881</v>
      </c>
      <c r="BE50" s="76">
        <f>IF(N50="základní",J50,0)</f>
        <v>0</v>
      </c>
      <c r="BF50" s="76">
        <f>IF(N50="snížená",J50,0)</f>
        <v>0</v>
      </c>
      <c r="BG50" s="76">
        <f>IF(N50="zákl. přenesená",J50,0)</f>
        <v>0</v>
      </c>
      <c r="BH50" s="76">
        <f>IF(N50="sníž. přenesená",J50,0)</f>
        <v>0</v>
      </c>
      <c r="BI50" s="76">
        <f>IF(N50="nulová",J50,0)</f>
        <v>0</v>
      </c>
      <c r="BJ50" s="47" t="s">
        <v>51</v>
      </c>
      <c r="BK50" s="76">
        <f>ROUND(I50*H50,2)</f>
        <v>0</v>
      </c>
      <c r="BL50" s="47" t="s">
        <v>363</v>
      </c>
      <c r="BM50" s="75" t="s">
        <v>1663</v>
      </c>
    </row>
    <row r="51" spans="4:51" s="95" customFormat="1" ht="10.2">
      <c r="D51" s="207" t="s">
        <v>1418</v>
      </c>
      <c r="E51" s="96" t="s">
        <v>854</v>
      </c>
      <c r="F51" s="208" t="s">
        <v>1664</v>
      </c>
      <c r="H51" s="209">
        <v>269.08</v>
      </c>
      <c r="T51" s="97"/>
      <c r="AT51" s="96" t="s">
        <v>1418</v>
      </c>
      <c r="AU51" s="96" t="s">
        <v>63</v>
      </c>
      <c r="AV51" s="95" t="s">
        <v>63</v>
      </c>
      <c r="AW51" s="95" t="s">
        <v>1420</v>
      </c>
      <c r="AX51" s="95" t="s">
        <v>51</v>
      </c>
      <c r="AY51" s="96" t="s">
        <v>881</v>
      </c>
    </row>
    <row r="52" spans="3:65" s="48" customFormat="1" ht="16.5" customHeight="1">
      <c r="C52" s="79" t="s">
        <v>121</v>
      </c>
      <c r="D52" s="79" t="s">
        <v>883</v>
      </c>
      <c r="E52" s="80" t="s">
        <v>1447</v>
      </c>
      <c r="F52" s="81" t="s">
        <v>1448</v>
      </c>
      <c r="G52" s="82" t="s">
        <v>260</v>
      </c>
      <c r="H52" s="83">
        <v>28</v>
      </c>
      <c r="I52" s="527"/>
      <c r="J52" s="84">
        <f aca="true" t="shared" si="0" ref="J52:J64">ROUND(I52*H52,2)</f>
        <v>0</v>
      </c>
      <c r="K52" s="521"/>
      <c r="L52" s="533" t="s">
        <v>2474</v>
      </c>
      <c r="M52" s="530" t="s">
        <v>854</v>
      </c>
      <c r="N52" s="72" t="s">
        <v>860</v>
      </c>
      <c r="O52" s="73">
        <v>0.252</v>
      </c>
      <c r="P52" s="73">
        <f aca="true" t="shared" si="1" ref="P52:P64">O52*H52</f>
        <v>7.056</v>
      </c>
      <c r="Q52" s="73">
        <v>0</v>
      </c>
      <c r="R52" s="73">
        <f aca="true" t="shared" si="2" ref="R52:R64">Q52*H52</f>
        <v>0</v>
      </c>
      <c r="S52" s="73">
        <v>0</v>
      </c>
      <c r="T52" s="74">
        <f aca="true" t="shared" si="3" ref="T52:T64">S52*H52</f>
        <v>0</v>
      </c>
      <c r="AR52" s="75" t="s">
        <v>92</v>
      </c>
      <c r="AT52" s="75" t="s">
        <v>883</v>
      </c>
      <c r="AU52" s="75" t="s">
        <v>63</v>
      </c>
      <c r="AY52" s="47" t="s">
        <v>881</v>
      </c>
      <c r="BE52" s="76">
        <f aca="true" t="shared" si="4" ref="BE52:BE64">IF(N52="základní",J52,0)</f>
        <v>0</v>
      </c>
      <c r="BF52" s="76">
        <f aca="true" t="shared" si="5" ref="BF52:BF64">IF(N52="snížená",J52,0)</f>
        <v>0</v>
      </c>
      <c r="BG52" s="76">
        <f aca="true" t="shared" si="6" ref="BG52:BG64">IF(N52="zákl. přenesená",J52,0)</f>
        <v>0</v>
      </c>
      <c r="BH52" s="76">
        <f aca="true" t="shared" si="7" ref="BH52:BH64">IF(N52="sníž. přenesená",J52,0)</f>
        <v>0</v>
      </c>
      <c r="BI52" s="76">
        <f aca="true" t="shared" si="8" ref="BI52:BI64">IF(N52="nulová",J52,0)</f>
        <v>0</v>
      </c>
      <c r="BJ52" s="47" t="s">
        <v>51</v>
      </c>
      <c r="BK52" s="76">
        <f aca="true" t="shared" si="9" ref="BK52:BK64">ROUND(I52*H52,2)</f>
        <v>0</v>
      </c>
      <c r="BL52" s="47" t="s">
        <v>92</v>
      </c>
      <c r="BM52" s="75" t="s">
        <v>1665</v>
      </c>
    </row>
    <row r="53" spans="3:65" s="48" customFormat="1" ht="16.5" customHeight="1">
      <c r="C53" s="85" t="s">
        <v>157</v>
      </c>
      <c r="D53" s="85" t="s">
        <v>201</v>
      </c>
      <c r="E53" s="86" t="s">
        <v>1450</v>
      </c>
      <c r="F53" s="87" t="s">
        <v>1451</v>
      </c>
      <c r="G53" s="88" t="s">
        <v>260</v>
      </c>
      <c r="H53" s="89">
        <v>28</v>
      </c>
      <c r="I53" s="528"/>
      <c r="J53" s="90">
        <f t="shared" si="0"/>
        <v>0</v>
      </c>
      <c r="K53" s="522"/>
      <c r="L53" s="533" t="s">
        <v>2474</v>
      </c>
      <c r="M53" s="531" t="s">
        <v>854</v>
      </c>
      <c r="N53" s="78" t="s">
        <v>860</v>
      </c>
      <c r="O53" s="73">
        <v>0</v>
      </c>
      <c r="P53" s="73">
        <f t="shared" si="1"/>
        <v>0</v>
      </c>
      <c r="Q53" s="73">
        <v>0.00023</v>
      </c>
      <c r="R53" s="73">
        <f t="shared" si="2"/>
        <v>0.00644</v>
      </c>
      <c r="S53" s="73">
        <v>0</v>
      </c>
      <c r="T53" s="74">
        <f t="shared" si="3"/>
        <v>0</v>
      </c>
      <c r="AR53" s="75" t="s">
        <v>221</v>
      </c>
      <c r="AT53" s="75" t="s">
        <v>201</v>
      </c>
      <c r="AU53" s="75" t="s">
        <v>63</v>
      </c>
      <c r="AY53" s="47" t="s">
        <v>881</v>
      </c>
      <c r="BE53" s="76">
        <f t="shared" si="4"/>
        <v>0</v>
      </c>
      <c r="BF53" s="76">
        <f t="shared" si="5"/>
        <v>0</v>
      </c>
      <c r="BG53" s="76">
        <f t="shared" si="6"/>
        <v>0</v>
      </c>
      <c r="BH53" s="76">
        <f t="shared" si="7"/>
        <v>0</v>
      </c>
      <c r="BI53" s="76">
        <f t="shared" si="8"/>
        <v>0</v>
      </c>
      <c r="BJ53" s="47" t="s">
        <v>51</v>
      </c>
      <c r="BK53" s="76">
        <f t="shared" si="9"/>
        <v>0</v>
      </c>
      <c r="BL53" s="47" t="s">
        <v>92</v>
      </c>
      <c r="BM53" s="75" t="s">
        <v>1666</v>
      </c>
    </row>
    <row r="54" spans="3:65" s="48" customFormat="1" ht="24.15" customHeight="1">
      <c r="C54" s="79" t="s">
        <v>161</v>
      </c>
      <c r="D54" s="79" t="s">
        <v>883</v>
      </c>
      <c r="E54" s="80" t="s">
        <v>1453</v>
      </c>
      <c r="F54" s="81" t="s">
        <v>1454</v>
      </c>
      <c r="G54" s="82" t="s">
        <v>74</v>
      </c>
      <c r="H54" s="83">
        <v>322</v>
      </c>
      <c r="I54" s="527"/>
      <c r="J54" s="84">
        <f t="shared" si="0"/>
        <v>0</v>
      </c>
      <c r="K54" s="521"/>
      <c r="L54" s="533" t="s">
        <v>2474</v>
      </c>
      <c r="M54" s="530" t="s">
        <v>854</v>
      </c>
      <c r="N54" s="72" t="s">
        <v>860</v>
      </c>
      <c r="O54" s="73">
        <v>0.07</v>
      </c>
      <c r="P54" s="73">
        <f t="shared" si="1"/>
        <v>22.540000000000003</v>
      </c>
      <c r="Q54" s="73">
        <v>0</v>
      </c>
      <c r="R54" s="73">
        <f t="shared" si="2"/>
        <v>0</v>
      </c>
      <c r="S54" s="73">
        <v>0</v>
      </c>
      <c r="T54" s="74">
        <f t="shared" si="3"/>
        <v>0</v>
      </c>
      <c r="AR54" s="75" t="s">
        <v>363</v>
      </c>
      <c r="AT54" s="75" t="s">
        <v>883</v>
      </c>
      <c r="AU54" s="75" t="s">
        <v>63</v>
      </c>
      <c r="AY54" s="47" t="s">
        <v>881</v>
      </c>
      <c r="BE54" s="76">
        <f t="shared" si="4"/>
        <v>0</v>
      </c>
      <c r="BF54" s="76">
        <f t="shared" si="5"/>
        <v>0</v>
      </c>
      <c r="BG54" s="76">
        <f t="shared" si="6"/>
        <v>0</v>
      </c>
      <c r="BH54" s="76">
        <f t="shared" si="7"/>
        <v>0</v>
      </c>
      <c r="BI54" s="76">
        <f t="shared" si="8"/>
        <v>0</v>
      </c>
      <c r="BJ54" s="47" t="s">
        <v>51</v>
      </c>
      <c r="BK54" s="76">
        <f t="shared" si="9"/>
        <v>0</v>
      </c>
      <c r="BL54" s="47" t="s">
        <v>363</v>
      </c>
      <c r="BM54" s="75" t="s">
        <v>1667</v>
      </c>
    </row>
    <row r="55" spans="3:65" s="48" customFormat="1" ht="16.5" customHeight="1">
      <c r="C55" s="79" t="s">
        <v>165</v>
      </c>
      <c r="D55" s="79" t="s">
        <v>883</v>
      </c>
      <c r="E55" s="80" t="s">
        <v>1668</v>
      </c>
      <c r="F55" s="81" t="s">
        <v>1669</v>
      </c>
      <c r="G55" s="82" t="s">
        <v>260</v>
      </c>
      <c r="H55" s="83">
        <v>30</v>
      </c>
      <c r="I55" s="527"/>
      <c r="J55" s="84">
        <f t="shared" si="0"/>
        <v>0</v>
      </c>
      <c r="K55" s="521"/>
      <c r="L55" s="533" t="s">
        <v>2474</v>
      </c>
      <c r="M55" s="530" t="s">
        <v>854</v>
      </c>
      <c r="N55" s="72" t="s">
        <v>860</v>
      </c>
      <c r="O55" s="73">
        <v>0.016</v>
      </c>
      <c r="P55" s="73">
        <f t="shared" si="1"/>
        <v>0.48</v>
      </c>
      <c r="Q55" s="73">
        <v>0</v>
      </c>
      <c r="R55" s="73">
        <f t="shared" si="2"/>
        <v>0</v>
      </c>
      <c r="S55" s="73">
        <v>0</v>
      </c>
      <c r="T55" s="74">
        <f t="shared" si="3"/>
        <v>0</v>
      </c>
      <c r="AR55" s="75" t="s">
        <v>363</v>
      </c>
      <c r="AT55" s="75" t="s">
        <v>883</v>
      </c>
      <c r="AU55" s="75" t="s">
        <v>63</v>
      </c>
      <c r="AY55" s="47" t="s">
        <v>881</v>
      </c>
      <c r="BE55" s="76">
        <f t="shared" si="4"/>
        <v>0</v>
      </c>
      <c r="BF55" s="76">
        <f t="shared" si="5"/>
        <v>0</v>
      </c>
      <c r="BG55" s="76">
        <f t="shared" si="6"/>
        <v>0</v>
      </c>
      <c r="BH55" s="76">
        <f t="shared" si="7"/>
        <v>0</v>
      </c>
      <c r="BI55" s="76">
        <f t="shared" si="8"/>
        <v>0</v>
      </c>
      <c r="BJ55" s="47" t="s">
        <v>51</v>
      </c>
      <c r="BK55" s="76">
        <f t="shared" si="9"/>
        <v>0</v>
      </c>
      <c r="BL55" s="47" t="s">
        <v>363</v>
      </c>
      <c r="BM55" s="75" t="s">
        <v>1670</v>
      </c>
    </row>
    <row r="56" spans="3:65" s="48" customFormat="1" ht="24.15" customHeight="1">
      <c r="C56" s="85" t="s">
        <v>70</v>
      </c>
      <c r="D56" s="85" t="s">
        <v>201</v>
      </c>
      <c r="E56" s="86" t="s">
        <v>1671</v>
      </c>
      <c r="F56" s="87" t="s">
        <v>1672</v>
      </c>
      <c r="G56" s="88" t="s">
        <v>260</v>
      </c>
      <c r="H56" s="89">
        <v>3</v>
      </c>
      <c r="I56" s="528"/>
      <c r="J56" s="90">
        <f t="shared" si="0"/>
        <v>0</v>
      </c>
      <c r="K56" s="522"/>
      <c r="L56" s="533" t="s">
        <v>2474</v>
      </c>
      <c r="M56" s="531" t="s">
        <v>854</v>
      </c>
      <c r="N56" s="78" t="s">
        <v>860</v>
      </c>
      <c r="O56" s="73">
        <v>0</v>
      </c>
      <c r="P56" s="73">
        <f t="shared" si="1"/>
        <v>0</v>
      </c>
      <c r="Q56" s="73">
        <v>0.00015</v>
      </c>
      <c r="R56" s="73">
        <f t="shared" si="2"/>
        <v>0.00045</v>
      </c>
      <c r="S56" s="73">
        <v>0</v>
      </c>
      <c r="T56" s="74">
        <f t="shared" si="3"/>
        <v>0</v>
      </c>
      <c r="AR56" s="75" t="s">
        <v>1470</v>
      </c>
      <c r="AT56" s="75" t="s">
        <v>201</v>
      </c>
      <c r="AU56" s="75" t="s">
        <v>63</v>
      </c>
      <c r="AY56" s="47" t="s">
        <v>881</v>
      </c>
      <c r="BE56" s="76">
        <f t="shared" si="4"/>
        <v>0</v>
      </c>
      <c r="BF56" s="76">
        <f t="shared" si="5"/>
        <v>0</v>
      </c>
      <c r="BG56" s="76">
        <f t="shared" si="6"/>
        <v>0</v>
      </c>
      <c r="BH56" s="76">
        <f t="shared" si="7"/>
        <v>0</v>
      </c>
      <c r="BI56" s="76">
        <f t="shared" si="8"/>
        <v>0</v>
      </c>
      <c r="BJ56" s="47" t="s">
        <v>51</v>
      </c>
      <c r="BK56" s="76">
        <f t="shared" si="9"/>
        <v>0</v>
      </c>
      <c r="BL56" s="47" t="s">
        <v>1470</v>
      </c>
      <c r="BM56" s="75" t="s">
        <v>1673</v>
      </c>
    </row>
    <row r="57" spans="3:65" s="48" customFormat="1" ht="16.5" customHeight="1">
      <c r="C57" s="85" t="s">
        <v>172</v>
      </c>
      <c r="D57" s="85" t="s">
        <v>201</v>
      </c>
      <c r="E57" s="86" t="s">
        <v>1674</v>
      </c>
      <c r="F57" s="87" t="s">
        <v>1675</v>
      </c>
      <c r="G57" s="88" t="s">
        <v>260</v>
      </c>
      <c r="H57" s="89">
        <v>12</v>
      </c>
      <c r="I57" s="528"/>
      <c r="J57" s="90">
        <f t="shared" si="0"/>
        <v>0</v>
      </c>
      <c r="K57" s="522"/>
      <c r="L57" s="533" t="s">
        <v>2130</v>
      </c>
      <c r="M57" s="531" t="s">
        <v>854</v>
      </c>
      <c r="N57" s="78" t="s">
        <v>860</v>
      </c>
      <c r="O57" s="73">
        <v>0</v>
      </c>
      <c r="P57" s="73">
        <f t="shared" si="1"/>
        <v>0</v>
      </c>
      <c r="Q57" s="73">
        <v>0.00015</v>
      </c>
      <c r="R57" s="73">
        <f t="shared" si="2"/>
        <v>0.0018</v>
      </c>
      <c r="S57" s="73">
        <v>0</v>
      </c>
      <c r="T57" s="74">
        <f t="shared" si="3"/>
        <v>0</v>
      </c>
      <c r="AR57" s="75" t="s">
        <v>1470</v>
      </c>
      <c r="AT57" s="75" t="s">
        <v>201</v>
      </c>
      <c r="AU57" s="75" t="s">
        <v>63</v>
      </c>
      <c r="AY57" s="47" t="s">
        <v>881</v>
      </c>
      <c r="BE57" s="76">
        <f t="shared" si="4"/>
        <v>0</v>
      </c>
      <c r="BF57" s="76">
        <f t="shared" si="5"/>
        <v>0</v>
      </c>
      <c r="BG57" s="76">
        <f t="shared" si="6"/>
        <v>0</v>
      </c>
      <c r="BH57" s="76">
        <f t="shared" si="7"/>
        <v>0</v>
      </c>
      <c r="BI57" s="76">
        <f t="shared" si="8"/>
        <v>0</v>
      </c>
      <c r="BJ57" s="47" t="s">
        <v>51</v>
      </c>
      <c r="BK57" s="76">
        <f t="shared" si="9"/>
        <v>0</v>
      </c>
      <c r="BL57" s="47" t="s">
        <v>1470</v>
      </c>
      <c r="BM57" s="75" t="s">
        <v>1676</v>
      </c>
    </row>
    <row r="58" spans="3:65" s="48" customFormat="1" ht="24.15" customHeight="1">
      <c r="C58" s="85" t="s">
        <v>177</v>
      </c>
      <c r="D58" s="85" t="s">
        <v>201</v>
      </c>
      <c r="E58" s="86" t="s">
        <v>1677</v>
      </c>
      <c r="F58" s="87" t="s">
        <v>1678</v>
      </c>
      <c r="G58" s="88" t="s">
        <v>260</v>
      </c>
      <c r="H58" s="89">
        <v>12</v>
      </c>
      <c r="I58" s="528"/>
      <c r="J58" s="90">
        <f t="shared" si="0"/>
        <v>0</v>
      </c>
      <c r="K58" s="522"/>
      <c r="L58" s="533" t="s">
        <v>2474</v>
      </c>
      <c r="M58" s="531" t="s">
        <v>854</v>
      </c>
      <c r="N58" s="78" t="s">
        <v>860</v>
      </c>
      <c r="O58" s="73">
        <v>0</v>
      </c>
      <c r="P58" s="73">
        <f t="shared" si="1"/>
        <v>0</v>
      </c>
      <c r="Q58" s="73">
        <v>0.00013</v>
      </c>
      <c r="R58" s="73">
        <f t="shared" si="2"/>
        <v>0.0015599999999999998</v>
      </c>
      <c r="S58" s="73">
        <v>0</v>
      </c>
      <c r="T58" s="74">
        <f t="shared" si="3"/>
        <v>0</v>
      </c>
      <c r="AR58" s="75" t="s">
        <v>1470</v>
      </c>
      <c r="AT58" s="75" t="s">
        <v>201</v>
      </c>
      <c r="AU58" s="75" t="s">
        <v>63</v>
      </c>
      <c r="AY58" s="47" t="s">
        <v>881</v>
      </c>
      <c r="BE58" s="76">
        <f t="shared" si="4"/>
        <v>0</v>
      </c>
      <c r="BF58" s="76">
        <f t="shared" si="5"/>
        <v>0</v>
      </c>
      <c r="BG58" s="76">
        <f t="shared" si="6"/>
        <v>0</v>
      </c>
      <c r="BH58" s="76">
        <f t="shared" si="7"/>
        <v>0</v>
      </c>
      <c r="BI58" s="76">
        <f t="shared" si="8"/>
        <v>0</v>
      </c>
      <c r="BJ58" s="47" t="s">
        <v>51</v>
      </c>
      <c r="BK58" s="76">
        <f t="shared" si="9"/>
        <v>0</v>
      </c>
      <c r="BL58" s="47" t="s">
        <v>1470</v>
      </c>
      <c r="BM58" s="75" t="s">
        <v>1679</v>
      </c>
    </row>
    <row r="59" spans="3:65" s="48" customFormat="1" ht="24.15" customHeight="1">
      <c r="C59" s="85" t="s">
        <v>181</v>
      </c>
      <c r="D59" s="85" t="s">
        <v>201</v>
      </c>
      <c r="E59" s="86" t="s">
        <v>1680</v>
      </c>
      <c r="F59" s="87" t="s">
        <v>1681</v>
      </c>
      <c r="G59" s="88" t="s">
        <v>260</v>
      </c>
      <c r="H59" s="89">
        <v>3</v>
      </c>
      <c r="I59" s="528"/>
      <c r="J59" s="90">
        <f t="shared" si="0"/>
        <v>0</v>
      </c>
      <c r="K59" s="522"/>
      <c r="L59" s="533" t="s">
        <v>2474</v>
      </c>
      <c r="M59" s="531" t="s">
        <v>854</v>
      </c>
      <c r="N59" s="78" t="s">
        <v>860</v>
      </c>
      <c r="O59" s="73">
        <v>0</v>
      </c>
      <c r="P59" s="73">
        <f t="shared" si="1"/>
        <v>0</v>
      </c>
      <c r="Q59" s="73">
        <v>0.0003</v>
      </c>
      <c r="R59" s="73">
        <f t="shared" si="2"/>
        <v>0.0009</v>
      </c>
      <c r="S59" s="73">
        <v>0</v>
      </c>
      <c r="T59" s="74">
        <f t="shared" si="3"/>
        <v>0</v>
      </c>
      <c r="AR59" s="75" t="s">
        <v>1470</v>
      </c>
      <c r="AT59" s="75" t="s">
        <v>201</v>
      </c>
      <c r="AU59" s="75" t="s">
        <v>63</v>
      </c>
      <c r="AY59" s="47" t="s">
        <v>881</v>
      </c>
      <c r="BE59" s="76">
        <f t="shared" si="4"/>
        <v>0</v>
      </c>
      <c r="BF59" s="76">
        <f t="shared" si="5"/>
        <v>0</v>
      </c>
      <c r="BG59" s="76">
        <f t="shared" si="6"/>
        <v>0</v>
      </c>
      <c r="BH59" s="76">
        <f t="shared" si="7"/>
        <v>0</v>
      </c>
      <c r="BI59" s="76">
        <f t="shared" si="8"/>
        <v>0</v>
      </c>
      <c r="BJ59" s="47" t="s">
        <v>51</v>
      </c>
      <c r="BK59" s="76">
        <f t="shared" si="9"/>
        <v>0</v>
      </c>
      <c r="BL59" s="47" t="s">
        <v>1470</v>
      </c>
      <c r="BM59" s="75" t="s">
        <v>1682</v>
      </c>
    </row>
    <row r="60" spans="3:65" s="48" customFormat="1" ht="24.15" customHeight="1">
      <c r="C60" s="79" t="s">
        <v>187</v>
      </c>
      <c r="D60" s="79" t="s">
        <v>883</v>
      </c>
      <c r="E60" s="80" t="s">
        <v>1683</v>
      </c>
      <c r="F60" s="81" t="s">
        <v>1684</v>
      </c>
      <c r="G60" s="82" t="s">
        <v>260</v>
      </c>
      <c r="H60" s="83">
        <v>4</v>
      </c>
      <c r="I60" s="527"/>
      <c r="J60" s="84">
        <f t="shared" si="0"/>
        <v>0</v>
      </c>
      <c r="K60" s="521"/>
      <c r="L60" s="533" t="s">
        <v>2474</v>
      </c>
      <c r="M60" s="530" t="s">
        <v>854</v>
      </c>
      <c r="N60" s="72" t="s">
        <v>860</v>
      </c>
      <c r="O60" s="73">
        <v>2.39</v>
      </c>
      <c r="P60" s="73">
        <f t="shared" si="1"/>
        <v>9.56</v>
      </c>
      <c r="Q60" s="73">
        <v>0</v>
      </c>
      <c r="R60" s="73">
        <f t="shared" si="2"/>
        <v>0</v>
      </c>
      <c r="S60" s="73">
        <v>0</v>
      </c>
      <c r="T60" s="74">
        <f t="shared" si="3"/>
        <v>0</v>
      </c>
      <c r="AR60" s="75" t="s">
        <v>363</v>
      </c>
      <c r="AT60" s="75" t="s">
        <v>883</v>
      </c>
      <c r="AU60" s="75" t="s">
        <v>63</v>
      </c>
      <c r="AY60" s="47" t="s">
        <v>881</v>
      </c>
      <c r="BE60" s="76">
        <f t="shared" si="4"/>
        <v>0</v>
      </c>
      <c r="BF60" s="76">
        <f t="shared" si="5"/>
        <v>0</v>
      </c>
      <c r="BG60" s="76">
        <f t="shared" si="6"/>
        <v>0</v>
      </c>
      <c r="BH60" s="76">
        <f t="shared" si="7"/>
        <v>0</v>
      </c>
      <c r="BI60" s="76">
        <f t="shared" si="8"/>
        <v>0</v>
      </c>
      <c r="BJ60" s="47" t="s">
        <v>51</v>
      </c>
      <c r="BK60" s="76">
        <f t="shared" si="9"/>
        <v>0</v>
      </c>
      <c r="BL60" s="47" t="s">
        <v>363</v>
      </c>
      <c r="BM60" s="75" t="s">
        <v>1685</v>
      </c>
    </row>
    <row r="61" spans="3:65" s="48" customFormat="1" ht="16.5" customHeight="1">
      <c r="C61" s="85" t="s">
        <v>198</v>
      </c>
      <c r="D61" s="85" t="s">
        <v>201</v>
      </c>
      <c r="E61" s="86" t="s">
        <v>1686</v>
      </c>
      <c r="F61" s="87" t="s">
        <v>1687</v>
      </c>
      <c r="G61" s="88" t="s">
        <v>260</v>
      </c>
      <c r="H61" s="89">
        <v>3</v>
      </c>
      <c r="I61" s="528"/>
      <c r="J61" s="90">
        <f t="shared" si="0"/>
        <v>0</v>
      </c>
      <c r="K61" s="522"/>
      <c r="L61" s="533" t="s">
        <v>2130</v>
      </c>
      <c r="M61" s="531" t="s">
        <v>854</v>
      </c>
      <c r="N61" s="78" t="s">
        <v>860</v>
      </c>
      <c r="O61" s="73">
        <v>0</v>
      </c>
      <c r="P61" s="73">
        <f t="shared" si="1"/>
        <v>0</v>
      </c>
      <c r="Q61" s="73">
        <v>0.009</v>
      </c>
      <c r="R61" s="73">
        <f t="shared" si="2"/>
        <v>0.026999999999999996</v>
      </c>
      <c r="S61" s="73">
        <v>0</v>
      </c>
      <c r="T61" s="74">
        <f t="shared" si="3"/>
        <v>0</v>
      </c>
      <c r="AR61" s="75" t="s">
        <v>221</v>
      </c>
      <c r="AT61" s="75" t="s">
        <v>201</v>
      </c>
      <c r="AU61" s="75" t="s">
        <v>63</v>
      </c>
      <c r="AY61" s="47" t="s">
        <v>881</v>
      </c>
      <c r="BE61" s="76">
        <f t="shared" si="4"/>
        <v>0</v>
      </c>
      <c r="BF61" s="76">
        <f t="shared" si="5"/>
        <v>0</v>
      </c>
      <c r="BG61" s="76">
        <f t="shared" si="6"/>
        <v>0</v>
      </c>
      <c r="BH61" s="76">
        <f t="shared" si="7"/>
        <v>0</v>
      </c>
      <c r="BI61" s="76">
        <f t="shared" si="8"/>
        <v>0</v>
      </c>
      <c r="BJ61" s="47" t="s">
        <v>51</v>
      </c>
      <c r="BK61" s="76">
        <f t="shared" si="9"/>
        <v>0</v>
      </c>
      <c r="BL61" s="47" t="s">
        <v>92</v>
      </c>
      <c r="BM61" s="75" t="s">
        <v>1688</v>
      </c>
    </row>
    <row r="62" spans="3:65" s="48" customFormat="1" ht="16.5" customHeight="1">
      <c r="C62" s="85" t="s">
        <v>206</v>
      </c>
      <c r="D62" s="85" t="s">
        <v>201</v>
      </c>
      <c r="E62" s="86" t="s">
        <v>1689</v>
      </c>
      <c r="F62" s="87" t="s">
        <v>1690</v>
      </c>
      <c r="G62" s="88" t="s">
        <v>260</v>
      </c>
      <c r="H62" s="89">
        <v>1</v>
      </c>
      <c r="I62" s="528"/>
      <c r="J62" s="90">
        <f t="shared" si="0"/>
        <v>0</v>
      </c>
      <c r="K62" s="522"/>
      <c r="L62" s="533" t="s">
        <v>2130</v>
      </c>
      <c r="M62" s="531" t="s">
        <v>854</v>
      </c>
      <c r="N62" s="78" t="s">
        <v>860</v>
      </c>
      <c r="O62" s="73">
        <v>0</v>
      </c>
      <c r="P62" s="73">
        <f t="shared" si="1"/>
        <v>0</v>
      </c>
      <c r="Q62" s="73">
        <v>0.009</v>
      </c>
      <c r="R62" s="73">
        <f t="shared" si="2"/>
        <v>0.009</v>
      </c>
      <c r="S62" s="73">
        <v>0</v>
      </c>
      <c r="T62" s="74">
        <f t="shared" si="3"/>
        <v>0</v>
      </c>
      <c r="AR62" s="75" t="s">
        <v>221</v>
      </c>
      <c r="AT62" s="75" t="s">
        <v>201</v>
      </c>
      <c r="AU62" s="75" t="s">
        <v>63</v>
      </c>
      <c r="AY62" s="47" t="s">
        <v>881</v>
      </c>
      <c r="BE62" s="76">
        <f t="shared" si="4"/>
        <v>0</v>
      </c>
      <c r="BF62" s="76">
        <f t="shared" si="5"/>
        <v>0</v>
      </c>
      <c r="BG62" s="76">
        <f t="shared" si="6"/>
        <v>0</v>
      </c>
      <c r="BH62" s="76">
        <f t="shared" si="7"/>
        <v>0</v>
      </c>
      <c r="BI62" s="76">
        <f t="shared" si="8"/>
        <v>0</v>
      </c>
      <c r="BJ62" s="47" t="s">
        <v>51</v>
      </c>
      <c r="BK62" s="76">
        <f t="shared" si="9"/>
        <v>0</v>
      </c>
      <c r="BL62" s="47" t="s">
        <v>92</v>
      </c>
      <c r="BM62" s="75" t="s">
        <v>1691</v>
      </c>
    </row>
    <row r="63" spans="3:65" s="48" customFormat="1" ht="33" customHeight="1">
      <c r="C63" s="79" t="s">
        <v>211</v>
      </c>
      <c r="D63" s="79" t="s">
        <v>883</v>
      </c>
      <c r="E63" s="80" t="s">
        <v>1692</v>
      </c>
      <c r="F63" s="81" t="s">
        <v>1693</v>
      </c>
      <c r="G63" s="82" t="s">
        <v>260</v>
      </c>
      <c r="H63" s="83">
        <v>1</v>
      </c>
      <c r="I63" s="527"/>
      <c r="J63" s="84">
        <f t="shared" si="0"/>
        <v>0</v>
      </c>
      <c r="K63" s="521"/>
      <c r="L63" s="533" t="s">
        <v>2474</v>
      </c>
      <c r="M63" s="530" t="s">
        <v>854</v>
      </c>
      <c r="N63" s="72" t="s">
        <v>860</v>
      </c>
      <c r="O63" s="73">
        <v>6.12</v>
      </c>
      <c r="P63" s="73">
        <f t="shared" si="1"/>
        <v>6.12</v>
      </c>
      <c r="Q63" s="73">
        <v>0</v>
      </c>
      <c r="R63" s="73">
        <f t="shared" si="2"/>
        <v>0</v>
      </c>
      <c r="S63" s="73">
        <v>0</v>
      </c>
      <c r="T63" s="74">
        <f t="shared" si="3"/>
        <v>0</v>
      </c>
      <c r="AR63" s="75" t="s">
        <v>363</v>
      </c>
      <c r="AT63" s="75" t="s">
        <v>883</v>
      </c>
      <c r="AU63" s="75" t="s">
        <v>63</v>
      </c>
      <c r="AY63" s="47" t="s">
        <v>881</v>
      </c>
      <c r="BE63" s="76">
        <f t="shared" si="4"/>
        <v>0</v>
      </c>
      <c r="BF63" s="76">
        <f t="shared" si="5"/>
        <v>0</v>
      </c>
      <c r="BG63" s="76">
        <f t="shared" si="6"/>
        <v>0</v>
      </c>
      <c r="BH63" s="76">
        <f t="shared" si="7"/>
        <v>0</v>
      </c>
      <c r="BI63" s="76">
        <f t="shared" si="8"/>
        <v>0</v>
      </c>
      <c r="BJ63" s="47" t="s">
        <v>51</v>
      </c>
      <c r="BK63" s="76">
        <f t="shared" si="9"/>
        <v>0</v>
      </c>
      <c r="BL63" s="47" t="s">
        <v>363</v>
      </c>
      <c r="BM63" s="75" t="s">
        <v>1694</v>
      </c>
    </row>
    <row r="64" spans="3:65" s="48" customFormat="1" ht="16.5" customHeight="1">
      <c r="C64" s="85" t="s">
        <v>108</v>
      </c>
      <c r="D64" s="85" t="s">
        <v>201</v>
      </c>
      <c r="E64" s="86" t="s">
        <v>1695</v>
      </c>
      <c r="F64" s="87" t="s">
        <v>2485</v>
      </c>
      <c r="G64" s="88" t="s">
        <v>260</v>
      </c>
      <c r="H64" s="89">
        <v>1</v>
      </c>
      <c r="I64" s="528"/>
      <c r="J64" s="90">
        <f t="shared" si="0"/>
        <v>0</v>
      </c>
      <c r="K64" s="522"/>
      <c r="L64" s="533" t="s">
        <v>2130</v>
      </c>
      <c r="M64" s="531" t="s">
        <v>854</v>
      </c>
      <c r="N64" s="78" t="s">
        <v>860</v>
      </c>
      <c r="O64" s="73">
        <v>0</v>
      </c>
      <c r="P64" s="73">
        <f t="shared" si="1"/>
        <v>0</v>
      </c>
      <c r="Q64" s="73">
        <v>0.00342</v>
      </c>
      <c r="R64" s="73">
        <f t="shared" si="2"/>
        <v>0.00342</v>
      </c>
      <c r="S64" s="73">
        <v>0</v>
      </c>
      <c r="T64" s="74">
        <f t="shared" si="3"/>
        <v>0</v>
      </c>
      <c r="AR64" s="75" t="s">
        <v>1470</v>
      </c>
      <c r="AT64" s="75" t="s">
        <v>201</v>
      </c>
      <c r="AU64" s="75" t="s">
        <v>63</v>
      </c>
      <c r="AY64" s="47" t="s">
        <v>881</v>
      </c>
      <c r="BE64" s="76">
        <f t="shared" si="4"/>
        <v>0</v>
      </c>
      <c r="BF64" s="76">
        <f t="shared" si="5"/>
        <v>0</v>
      </c>
      <c r="BG64" s="76">
        <f t="shared" si="6"/>
        <v>0</v>
      </c>
      <c r="BH64" s="76">
        <f t="shared" si="7"/>
        <v>0</v>
      </c>
      <c r="BI64" s="76">
        <f t="shared" si="8"/>
        <v>0</v>
      </c>
      <c r="BJ64" s="47" t="s">
        <v>51</v>
      </c>
      <c r="BK64" s="76">
        <f t="shared" si="9"/>
        <v>0</v>
      </c>
      <c r="BL64" s="47" t="s">
        <v>1470</v>
      </c>
      <c r="BM64" s="75" t="s">
        <v>1696</v>
      </c>
    </row>
    <row r="65" spans="4:63" s="64" customFormat="1" ht="22.95" customHeight="1">
      <c r="D65" s="65" t="s">
        <v>877</v>
      </c>
      <c r="E65" s="205" t="s">
        <v>1697</v>
      </c>
      <c r="F65" s="205" t="s">
        <v>1457</v>
      </c>
      <c r="J65" s="206">
        <f>BK65</f>
        <v>0</v>
      </c>
      <c r="P65" s="67">
        <f>SUM(P66:P95)</f>
        <v>98.24800000000002</v>
      </c>
      <c r="R65" s="67">
        <f>SUM(R66:R95)</f>
        <v>0.20883</v>
      </c>
      <c r="T65" s="68">
        <f>SUM(T66:T95)</f>
        <v>0</v>
      </c>
      <c r="AR65" s="65" t="s">
        <v>67</v>
      </c>
      <c r="AT65" s="69" t="s">
        <v>877</v>
      </c>
      <c r="AU65" s="69" t="s">
        <v>51</v>
      </c>
      <c r="AY65" s="65" t="s">
        <v>881</v>
      </c>
      <c r="BK65" s="70">
        <f>SUM(BK66:BK95)</f>
        <v>0</v>
      </c>
    </row>
    <row r="66" spans="3:65" s="48" customFormat="1" ht="24.15" customHeight="1">
      <c r="C66" s="79" t="s">
        <v>221</v>
      </c>
      <c r="D66" s="79" t="s">
        <v>883</v>
      </c>
      <c r="E66" s="80" t="s">
        <v>1458</v>
      </c>
      <c r="F66" s="81" t="s">
        <v>1459</v>
      </c>
      <c r="G66" s="82" t="s">
        <v>260</v>
      </c>
      <c r="H66" s="83">
        <v>13</v>
      </c>
      <c r="I66" s="527"/>
      <c r="J66" s="84">
        <f>ROUND(I66*H66,2)</f>
        <v>0</v>
      </c>
      <c r="K66" s="521"/>
      <c r="L66" s="533" t="s">
        <v>2474</v>
      </c>
      <c r="M66" s="530" t="s">
        <v>854</v>
      </c>
      <c r="N66" s="72" t="s">
        <v>860</v>
      </c>
      <c r="O66" s="73">
        <v>0.718</v>
      </c>
      <c r="P66" s="73">
        <f>O66*H66</f>
        <v>9.334</v>
      </c>
      <c r="Q66" s="73">
        <v>0</v>
      </c>
      <c r="R66" s="73">
        <f>Q66*H66</f>
        <v>0</v>
      </c>
      <c r="S66" s="73">
        <v>0</v>
      </c>
      <c r="T66" s="74">
        <f>S66*H66</f>
        <v>0</v>
      </c>
      <c r="AR66" s="75" t="s">
        <v>363</v>
      </c>
      <c r="AT66" s="75" t="s">
        <v>883</v>
      </c>
      <c r="AU66" s="75" t="s">
        <v>63</v>
      </c>
      <c r="AY66" s="47" t="s">
        <v>881</v>
      </c>
      <c r="BE66" s="76">
        <f>IF(N66="základní",J66,0)</f>
        <v>0</v>
      </c>
      <c r="BF66" s="76">
        <f>IF(N66="snížená",J66,0)</f>
        <v>0</v>
      </c>
      <c r="BG66" s="76">
        <f>IF(N66="zákl. přenesená",J66,0)</f>
        <v>0</v>
      </c>
      <c r="BH66" s="76">
        <f>IF(N66="sníž. přenesená",J66,0)</f>
        <v>0</v>
      </c>
      <c r="BI66" s="76">
        <f>IF(N66="nulová",J66,0)</f>
        <v>0</v>
      </c>
      <c r="BJ66" s="47" t="s">
        <v>51</v>
      </c>
      <c r="BK66" s="76">
        <f>ROUND(I66*H66,2)</f>
        <v>0</v>
      </c>
      <c r="BL66" s="47" t="s">
        <v>363</v>
      </c>
      <c r="BM66" s="75" t="s">
        <v>1698</v>
      </c>
    </row>
    <row r="67" spans="4:51" s="95" customFormat="1" ht="10.2">
      <c r="D67" s="207" t="s">
        <v>1418</v>
      </c>
      <c r="E67" s="96" t="s">
        <v>854</v>
      </c>
      <c r="F67" s="208" t="s">
        <v>1699</v>
      </c>
      <c r="H67" s="209">
        <v>5</v>
      </c>
      <c r="T67" s="97"/>
      <c r="AT67" s="96" t="s">
        <v>1418</v>
      </c>
      <c r="AU67" s="96" t="s">
        <v>63</v>
      </c>
      <c r="AV67" s="95" t="s">
        <v>63</v>
      </c>
      <c r="AW67" s="95" t="s">
        <v>1420</v>
      </c>
      <c r="AX67" s="95" t="s">
        <v>880</v>
      </c>
      <c r="AY67" s="96" t="s">
        <v>881</v>
      </c>
    </row>
    <row r="68" spans="4:51" s="95" customFormat="1" ht="10.2">
      <c r="D68" s="207" t="s">
        <v>1418</v>
      </c>
      <c r="E68" s="96" t="s">
        <v>854</v>
      </c>
      <c r="F68" s="208" t="s">
        <v>1700</v>
      </c>
      <c r="H68" s="209">
        <v>8</v>
      </c>
      <c r="T68" s="97"/>
      <c r="AT68" s="96" t="s">
        <v>1418</v>
      </c>
      <c r="AU68" s="96" t="s">
        <v>63</v>
      </c>
      <c r="AV68" s="95" t="s">
        <v>63</v>
      </c>
      <c r="AW68" s="95" t="s">
        <v>1420</v>
      </c>
      <c r="AX68" s="95" t="s">
        <v>880</v>
      </c>
      <c r="AY68" s="96" t="s">
        <v>881</v>
      </c>
    </row>
    <row r="69" spans="3:65" s="48" customFormat="1" ht="24.15" customHeight="1">
      <c r="C69" s="85" t="s">
        <v>226</v>
      </c>
      <c r="D69" s="85" t="s">
        <v>201</v>
      </c>
      <c r="E69" s="86" t="s">
        <v>1701</v>
      </c>
      <c r="F69" s="87" t="s">
        <v>2486</v>
      </c>
      <c r="G69" s="88" t="s">
        <v>260</v>
      </c>
      <c r="H69" s="89">
        <v>4</v>
      </c>
      <c r="I69" s="528"/>
      <c r="J69" s="90">
        <f aca="true" t="shared" si="10" ref="J69:J87">ROUND(I69*H69,2)</f>
        <v>0</v>
      </c>
      <c r="K69" s="522"/>
      <c r="L69" s="533" t="s">
        <v>2130</v>
      </c>
      <c r="M69" s="531" t="s">
        <v>854</v>
      </c>
      <c r="N69" s="78" t="s">
        <v>860</v>
      </c>
      <c r="O69" s="73">
        <v>0</v>
      </c>
      <c r="P69" s="73">
        <f aca="true" t="shared" si="11" ref="P69:P87">O69*H69</f>
        <v>0</v>
      </c>
      <c r="Q69" s="73">
        <v>0.0075</v>
      </c>
      <c r="R69" s="73">
        <f aca="true" t="shared" si="12" ref="R69:R87">Q69*H69</f>
        <v>0.03</v>
      </c>
      <c r="S69" s="73">
        <v>0</v>
      </c>
      <c r="T69" s="74">
        <f aca="true" t="shared" si="13" ref="T69:T87">S69*H69</f>
        <v>0</v>
      </c>
      <c r="AR69" s="75" t="s">
        <v>1470</v>
      </c>
      <c r="AT69" s="75" t="s">
        <v>201</v>
      </c>
      <c r="AU69" s="75" t="s">
        <v>63</v>
      </c>
      <c r="AY69" s="47" t="s">
        <v>881</v>
      </c>
      <c r="BE69" s="76">
        <f aca="true" t="shared" si="14" ref="BE69:BE87">IF(N69="základní",J69,0)</f>
        <v>0</v>
      </c>
      <c r="BF69" s="76">
        <f aca="true" t="shared" si="15" ref="BF69:BF87">IF(N69="snížená",J69,0)</f>
        <v>0</v>
      </c>
      <c r="BG69" s="76">
        <f aca="true" t="shared" si="16" ref="BG69:BG87">IF(N69="zákl. přenesená",J69,0)</f>
        <v>0</v>
      </c>
      <c r="BH69" s="76">
        <f aca="true" t="shared" si="17" ref="BH69:BH87">IF(N69="sníž. přenesená",J69,0)</f>
        <v>0</v>
      </c>
      <c r="BI69" s="76">
        <f aca="true" t="shared" si="18" ref="BI69:BI87">IF(N69="nulová",J69,0)</f>
        <v>0</v>
      </c>
      <c r="BJ69" s="47" t="s">
        <v>51</v>
      </c>
      <c r="BK69" s="76">
        <f aca="true" t="shared" si="19" ref="BK69:BK87">ROUND(I69*H69,2)</f>
        <v>0</v>
      </c>
      <c r="BL69" s="47" t="s">
        <v>1470</v>
      </c>
      <c r="BM69" s="75" t="s">
        <v>1702</v>
      </c>
    </row>
    <row r="70" spans="3:65" s="48" customFormat="1" ht="24.15" customHeight="1">
      <c r="C70" s="85" t="s">
        <v>229</v>
      </c>
      <c r="D70" s="85" t="s">
        <v>201</v>
      </c>
      <c r="E70" s="86" t="s">
        <v>1703</v>
      </c>
      <c r="F70" s="87" t="s">
        <v>2487</v>
      </c>
      <c r="G70" s="88" t="s">
        <v>260</v>
      </c>
      <c r="H70" s="89">
        <v>5</v>
      </c>
      <c r="I70" s="528"/>
      <c r="J70" s="90">
        <f t="shared" si="10"/>
        <v>0</v>
      </c>
      <c r="K70" s="522"/>
      <c r="L70" s="533" t="s">
        <v>2130</v>
      </c>
      <c r="M70" s="531" t="s">
        <v>854</v>
      </c>
      <c r="N70" s="78" t="s">
        <v>860</v>
      </c>
      <c r="O70" s="73">
        <v>0</v>
      </c>
      <c r="P70" s="73">
        <f t="shared" si="11"/>
        <v>0</v>
      </c>
      <c r="Q70" s="73">
        <v>0.0075</v>
      </c>
      <c r="R70" s="73">
        <f t="shared" si="12"/>
        <v>0.0375</v>
      </c>
      <c r="S70" s="73">
        <v>0</v>
      </c>
      <c r="T70" s="74">
        <f t="shared" si="13"/>
        <v>0</v>
      </c>
      <c r="AR70" s="75" t="s">
        <v>1470</v>
      </c>
      <c r="AT70" s="75" t="s">
        <v>201</v>
      </c>
      <c r="AU70" s="75" t="s">
        <v>63</v>
      </c>
      <c r="AY70" s="47" t="s">
        <v>881</v>
      </c>
      <c r="BE70" s="76">
        <f t="shared" si="14"/>
        <v>0</v>
      </c>
      <c r="BF70" s="76">
        <f t="shared" si="15"/>
        <v>0</v>
      </c>
      <c r="BG70" s="76">
        <f t="shared" si="16"/>
        <v>0</v>
      </c>
      <c r="BH70" s="76">
        <f t="shared" si="17"/>
        <v>0</v>
      </c>
      <c r="BI70" s="76">
        <f t="shared" si="18"/>
        <v>0</v>
      </c>
      <c r="BJ70" s="47" t="s">
        <v>51</v>
      </c>
      <c r="BK70" s="76">
        <f t="shared" si="19"/>
        <v>0</v>
      </c>
      <c r="BL70" s="47" t="s">
        <v>1470</v>
      </c>
      <c r="BM70" s="75" t="s">
        <v>1704</v>
      </c>
    </row>
    <row r="71" spans="3:65" s="48" customFormat="1" ht="24.15" customHeight="1">
      <c r="C71" s="85" t="s">
        <v>112</v>
      </c>
      <c r="D71" s="85" t="s">
        <v>201</v>
      </c>
      <c r="E71" s="86" t="s">
        <v>1705</v>
      </c>
      <c r="F71" s="87" t="s">
        <v>2489</v>
      </c>
      <c r="G71" s="88" t="s">
        <v>260</v>
      </c>
      <c r="H71" s="89">
        <v>2</v>
      </c>
      <c r="I71" s="528"/>
      <c r="J71" s="90">
        <f t="shared" si="10"/>
        <v>0</v>
      </c>
      <c r="K71" s="522"/>
      <c r="L71" s="533" t="s">
        <v>2130</v>
      </c>
      <c r="M71" s="531" t="s">
        <v>854</v>
      </c>
      <c r="N71" s="78" t="s">
        <v>860</v>
      </c>
      <c r="O71" s="73">
        <v>0</v>
      </c>
      <c r="P71" s="73">
        <f t="shared" si="11"/>
        <v>0</v>
      </c>
      <c r="Q71" s="73">
        <v>0.0075</v>
      </c>
      <c r="R71" s="73">
        <f t="shared" si="12"/>
        <v>0.015</v>
      </c>
      <c r="S71" s="73">
        <v>0</v>
      </c>
      <c r="T71" s="74">
        <f t="shared" si="13"/>
        <v>0</v>
      </c>
      <c r="AR71" s="75" t="s">
        <v>1470</v>
      </c>
      <c r="AT71" s="75" t="s">
        <v>201</v>
      </c>
      <c r="AU71" s="75" t="s">
        <v>63</v>
      </c>
      <c r="AY71" s="47" t="s">
        <v>881</v>
      </c>
      <c r="BE71" s="76">
        <f t="shared" si="14"/>
        <v>0</v>
      </c>
      <c r="BF71" s="76">
        <f t="shared" si="15"/>
        <v>0</v>
      </c>
      <c r="BG71" s="76">
        <f t="shared" si="16"/>
        <v>0</v>
      </c>
      <c r="BH71" s="76">
        <f t="shared" si="17"/>
        <v>0</v>
      </c>
      <c r="BI71" s="76">
        <f t="shared" si="18"/>
        <v>0</v>
      </c>
      <c r="BJ71" s="47" t="s">
        <v>51</v>
      </c>
      <c r="BK71" s="76">
        <f t="shared" si="19"/>
        <v>0</v>
      </c>
      <c r="BL71" s="47" t="s">
        <v>1470</v>
      </c>
      <c r="BM71" s="75" t="s">
        <v>1706</v>
      </c>
    </row>
    <row r="72" spans="3:65" s="48" customFormat="1" ht="24.15" customHeight="1">
      <c r="C72" s="85" t="s">
        <v>237</v>
      </c>
      <c r="D72" s="85" t="s">
        <v>201</v>
      </c>
      <c r="E72" s="86" t="s">
        <v>1707</v>
      </c>
      <c r="F72" s="87" t="s">
        <v>2488</v>
      </c>
      <c r="G72" s="88" t="s">
        <v>260</v>
      </c>
      <c r="H72" s="89">
        <v>2</v>
      </c>
      <c r="I72" s="528"/>
      <c r="J72" s="90">
        <f t="shared" si="10"/>
        <v>0</v>
      </c>
      <c r="K72" s="522"/>
      <c r="L72" s="533" t="s">
        <v>2130</v>
      </c>
      <c r="M72" s="531" t="s">
        <v>854</v>
      </c>
      <c r="N72" s="78" t="s">
        <v>860</v>
      </c>
      <c r="O72" s="73">
        <v>0</v>
      </c>
      <c r="P72" s="73">
        <f t="shared" si="11"/>
        <v>0</v>
      </c>
      <c r="Q72" s="73">
        <v>0.0075</v>
      </c>
      <c r="R72" s="73">
        <f t="shared" si="12"/>
        <v>0.015</v>
      </c>
      <c r="S72" s="73">
        <v>0</v>
      </c>
      <c r="T72" s="74">
        <f t="shared" si="13"/>
        <v>0</v>
      </c>
      <c r="AR72" s="75" t="s">
        <v>1470</v>
      </c>
      <c r="AT72" s="75" t="s">
        <v>201</v>
      </c>
      <c r="AU72" s="75" t="s">
        <v>63</v>
      </c>
      <c r="AY72" s="47" t="s">
        <v>881</v>
      </c>
      <c r="BE72" s="76">
        <f t="shared" si="14"/>
        <v>0</v>
      </c>
      <c r="BF72" s="76">
        <f t="shared" si="15"/>
        <v>0</v>
      </c>
      <c r="BG72" s="76">
        <f t="shared" si="16"/>
        <v>0</v>
      </c>
      <c r="BH72" s="76">
        <f t="shared" si="17"/>
        <v>0</v>
      </c>
      <c r="BI72" s="76">
        <f t="shared" si="18"/>
        <v>0</v>
      </c>
      <c r="BJ72" s="47" t="s">
        <v>51</v>
      </c>
      <c r="BK72" s="76">
        <f t="shared" si="19"/>
        <v>0</v>
      </c>
      <c r="BL72" s="47" t="s">
        <v>1470</v>
      </c>
      <c r="BM72" s="75" t="s">
        <v>1708</v>
      </c>
    </row>
    <row r="73" spans="3:65" s="48" customFormat="1" ht="16.5" customHeight="1">
      <c r="C73" s="85" t="s">
        <v>243</v>
      </c>
      <c r="D73" s="85" t="s">
        <v>201</v>
      </c>
      <c r="E73" s="86" t="s">
        <v>1709</v>
      </c>
      <c r="F73" s="87" t="s">
        <v>1710</v>
      </c>
      <c r="G73" s="88" t="s">
        <v>260</v>
      </c>
      <c r="H73" s="89">
        <v>13</v>
      </c>
      <c r="I73" s="528"/>
      <c r="J73" s="90">
        <f t="shared" si="10"/>
        <v>0</v>
      </c>
      <c r="K73" s="522"/>
      <c r="L73" s="533" t="s">
        <v>2130</v>
      </c>
      <c r="M73" s="531" t="s">
        <v>854</v>
      </c>
      <c r="N73" s="78" t="s">
        <v>860</v>
      </c>
      <c r="O73" s="73">
        <v>0</v>
      </c>
      <c r="P73" s="73">
        <f t="shared" si="11"/>
        <v>0</v>
      </c>
      <c r="Q73" s="73">
        <v>0.0075</v>
      </c>
      <c r="R73" s="73">
        <f t="shared" si="12"/>
        <v>0.0975</v>
      </c>
      <c r="S73" s="73">
        <v>0</v>
      </c>
      <c r="T73" s="74">
        <f t="shared" si="13"/>
        <v>0</v>
      </c>
      <c r="AR73" s="75" t="s">
        <v>1470</v>
      </c>
      <c r="AT73" s="75" t="s">
        <v>201</v>
      </c>
      <c r="AU73" s="75" t="s">
        <v>63</v>
      </c>
      <c r="AY73" s="47" t="s">
        <v>881</v>
      </c>
      <c r="BE73" s="76">
        <f t="shared" si="14"/>
        <v>0</v>
      </c>
      <c r="BF73" s="76">
        <f t="shared" si="15"/>
        <v>0</v>
      </c>
      <c r="BG73" s="76">
        <f t="shared" si="16"/>
        <v>0</v>
      </c>
      <c r="BH73" s="76">
        <f t="shared" si="17"/>
        <v>0</v>
      </c>
      <c r="BI73" s="76">
        <f t="shared" si="18"/>
        <v>0</v>
      </c>
      <c r="BJ73" s="47" t="s">
        <v>51</v>
      </c>
      <c r="BK73" s="76">
        <f t="shared" si="19"/>
        <v>0</v>
      </c>
      <c r="BL73" s="47" t="s">
        <v>1470</v>
      </c>
      <c r="BM73" s="75" t="s">
        <v>1711</v>
      </c>
    </row>
    <row r="74" spans="3:65" s="48" customFormat="1" ht="24.15" customHeight="1">
      <c r="C74" s="79" t="s">
        <v>144</v>
      </c>
      <c r="D74" s="79" t="s">
        <v>883</v>
      </c>
      <c r="E74" s="80" t="s">
        <v>1464</v>
      </c>
      <c r="F74" s="81" t="s">
        <v>1465</v>
      </c>
      <c r="G74" s="82" t="s">
        <v>260</v>
      </c>
      <c r="H74" s="83">
        <v>10</v>
      </c>
      <c r="I74" s="527"/>
      <c r="J74" s="84">
        <f t="shared" si="10"/>
        <v>0</v>
      </c>
      <c r="K74" s="521"/>
      <c r="L74" s="533" t="s">
        <v>2474</v>
      </c>
      <c r="M74" s="530" t="s">
        <v>854</v>
      </c>
      <c r="N74" s="72" t="s">
        <v>860</v>
      </c>
      <c r="O74" s="73">
        <v>3.813</v>
      </c>
      <c r="P74" s="73">
        <f t="shared" si="11"/>
        <v>38.13</v>
      </c>
      <c r="Q74" s="73">
        <v>0</v>
      </c>
      <c r="R74" s="73">
        <f t="shared" si="12"/>
        <v>0</v>
      </c>
      <c r="S74" s="73">
        <v>0</v>
      </c>
      <c r="T74" s="74">
        <f t="shared" si="13"/>
        <v>0</v>
      </c>
      <c r="AR74" s="75" t="s">
        <v>363</v>
      </c>
      <c r="AT74" s="75" t="s">
        <v>883</v>
      </c>
      <c r="AU74" s="75" t="s">
        <v>63</v>
      </c>
      <c r="AY74" s="47" t="s">
        <v>881</v>
      </c>
      <c r="BE74" s="76">
        <f t="shared" si="14"/>
        <v>0</v>
      </c>
      <c r="BF74" s="76">
        <f t="shared" si="15"/>
        <v>0</v>
      </c>
      <c r="BG74" s="76">
        <f t="shared" si="16"/>
        <v>0</v>
      </c>
      <c r="BH74" s="76">
        <f t="shared" si="17"/>
        <v>0</v>
      </c>
      <c r="BI74" s="76">
        <f t="shared" si="18"/>
        <v>0</v>
      </c>
      <c r="BJ74" s="47" t="s">
        <v>51</v>
      </c>
      <c r="BK74" s="76">
        <f t="shared" si="19"/>
        <v>0</v>
      </c>
      <c r="BL74" s="47" t="s">
        <v>363</v>
      </c>
      <c r="BM74" s="75" t="s">
        <v>1712</v>
      </c>
    </row>
    <row r="75" spans="3:65" s="48" customFormat="1" ht="24.15" customHeight="1">
      <c r="C75" s="85" t="s">
        <v>250</v>
      </c>
      <c r="D75" s="85" t="s">
        <v>201</v>
      </c>
      <c r="E75" s="86" t="s">
        <v>1713</v>
      </c>
      <c r="F75" s="87" t="s">
        <v>1714</v>
      </c>
      <c r="G75" s="88" t="s">
        <v>1469</v>
      </c>
      <c r="H75" s="89">
        <v>8</v>
      </c>
      <c r="I75" s="528"/>
      <c r="J75" s="90">
        <f t="shared" si="10"/>
        <v>0</v>
      </c>
      <c r="K75" s="522"/>
      <c r="L75" s="533" t="s">
        <v>2130</v>
      </c>
      <c r="M75" s="531" t="s">
        <v>854</v>
      </c>
      <c r="N75" s="78" t="s">
        <v>860</v>
      </c>
      <c r="O75" s="73">
        <v>0</v>
      </c>
      <c r="P75" s="73">
        <f t="shared" si="11"/>
        <v>0</v>
      </c>
      <c r="Q75" s="73">
        <v>0</v>
      </c>
      <c r="R75" s="73">
        <f t="shared" si="12"/>
        <v>0</v>
      </c>
      <c r="S75" s="73">
        <v>0</v>
      </c>
      <c r="T75" s="74">
        <f t="shared" si="13"/>
        <v>0</v>
      </c>
      <c r="AR75" s="75" t="s">
        <v>1470</v>
      </c>
      <c r="AT75" s="75" t="s">
        <v>201</v>
      </c>
      <c r="AU75" s="75" t="s">
        <v>63</v>
      </c>
      <c r="AY75" s="47" t="s">
        <v>881</v>
      </c>
      <c r="BE75" s="76">
        <f t="shared" si="14"/>
        <v>0</v>
      </c>
      <c r="BF75" s="76">
        <f t="shared" si="15"/>
        <v>0</v>
      </c>
      <c r="BG75" s="76">
        <f t="shared" si="16"/>
        <v>0</v>
      </c>
      <c r="BH75" s="76">
        <f t="shared" si="17"/>
        <v>0</v>
      </c>
      <c r="BI75" s="76">
        <f t="shared" si="18"/>
        <v>0</v>
      </c>
      <c r="BJ75" s="47" t="s">
        <v>51</v>
      </c>
      <c r="BK75" s="76">
        <f t="shared" si="19"/>
        <v>0</v>
      </c>
      <c r="BL75" s="47" t="s">
        <v>1470</v>
      </c>
      <c r="BM75" s="75" t="s">
        <v>1715</v>
      </c>
    </row>
    <row r="76" spans="3:65" s="48" customFormat="1" ht="24.15" customHeight="1">
      <c r="C76" s="85" t="s">
        <v>253</v>
      </c>
      <c r="D76" s="85" t="s">
        <v>201</v>
      </c>
      <c r="E76" s="86" t="s">
        <v>1716</v>
      </c>
      <c r="F76" s="87" t="s">
        <v>1717</v>
      </c>
      <c r="G76" s="88" t="s">
        <v>1469</v>
      </c>
      <c r="H76" s="89">
        <v>2</v>
      </c>
      <c r="I76" s="528"/>
      <c r="J76" s="90">
        <f t="shared" si="10"/>
        <v>0</v>
      </c>
      <c r="K76" s="522"/>
      <c r="L76" s="533" t="s">
        <v>2130</v>
      </c>
      <c r="M76" s="531" t="s">
        <v>854</v>
      </c>
      <c r="N76" s="78" t="s">
        <v>860</v>
      </c>
      <c r="O76" s="73">
        <v>0</v>
      </c>
      <c r="P76" s="73">
        <f t="shared" si="11"/>
        <v>0</v>
      </c>
      <c r="Q76" s="73">
        <v>0</v>
      </c>
      <c r="R76" s="73">
        <f t="shared" si="12"/>
        <v>0</v>
      </c>
      <c r="S76" s="73">
        <v>0</v>
      </c>
      <c r="T76" s="74">
        <f t="shared" si="13"/>
        <v>0</v>
      </c>
      <c r="AR76" s="75" t="s">
        <v>1470</v>
      </c>
      <c r="AT76" s="75" t="s">
        <v>201</v>
      </c>
      <c r="AU76" s="75" t="s">
        <v>63</v>
      </c>
      <c r="AY76" s="47" t="s">
        <v>881</v>
      </c>
      <c r="BE76" s="76">
        <f t="shared" si="14"/>
        <v>0</v>
      </c>
      <c r="BF76" s="76">
        <f t="shared" si="15"/>
        <v>0</v>
      </c>
      <c r="BG76" s="76">
        <f t="shared" si="16"/>
        <v>0</v>
      </c>
      <c r="BH76" s="76">
        <f t="shared" si="17"/>
        <v>0</v>
      </c>
      <c r="BI76" s="76">
        <f t="shared" si="18"/>
        <v>0</v>
      </c>
      <c r="BJ76" s="47" t="s">
        <v>51</v>
      </c>
      <c r="BK76" s="76">
        <f t="shared" si="19"/>
        <v>0</v>
      </c>
      <c r="BL76" s="47" t="s">
        <v>1470</v>
      </c>
      <c r="BM76" s="75" t="s">
        <v>1718</v>
      </c>
    </row>
    <row r="77" spans="3:65" s="48" customFormat="1" ht="24.15" customHeight="1">
      <c r="C77" s="79" t="s">
        <v>257</v>
      </c>
      <c r="D77" s="79" t="s">
        <v>883</v>
      </c>
      <c r="E77" s="80" t="s">
        <v>1475</v>
      </c>
      <c r="F77" s="81" t="s">
        <v>1476</v>
      </c>
      <c r="G77" s="82" t="s">
        <v>260</v>
      </c>
      <c r="H77" s="83">
        <v>11</v>
      </c>
      <c r="I77" s="527"/>
      <c r="J77" s="84">
        <f t="shared" si="10"/>
        <v>0</v>
      </c>
      <c r="K77" s="521"/>
      <c r="L77" s="533" t="s">
        <v>2474</v>
      </c>
      <c r="M77" s="530" t="s">
        <v>854</v>
      </c>
      <c r="N77" s="72" t="s">
        <v>860</v>
      </c>
      <c r="O77" s="73">
        <v>2.3</v>
      </c>
      <c r="P77" s="73">
        <f t="shared" si="11"/>
        <v>25.299999999999997</v>
      </c>
      <c r="Q77" s="73">
        <v>0</v>
      </c>
      <c r="R77" s="73">
        <f t="shared" si="12"/>
        <v>0</v>
      </c>
      <c r="S77" s="73">
        <v>0</v>
      </c>
      <c r="T77" s="74">
        <f t="shared" si="13"/>
        <v>0</v>
      </c>
      <c r="AR77" s="75" t="s">
        <v>363</v>
      </c>
      <c r="AT77" s="75" t="s">
        <v>883</v>
      </c>
      <c r="AU77" s="75" t="s">
        <v>63</v>
      </c>
      <c r="AY77" s="47" t="s">
        <v>881</v>
      </c>
      <c r="BE77" s="76">
        <f t="shared" si="14"/>
        <v>0</v>
      </c>
      <c r="BF77" s="76">
        <f t="shared" si="15"/>
        <v>0</v>
      </c>
      <c r="BG77" s="76">
        <f t="shared" si="16"/>
        <v>0</v>
      </c>
      <c r="BH77" s="76">
        <f t="shared" si="17"/>
        <v>0</v>
      </c>
      <c r="BI77" s="76">
        <f t="shared" si="18"/>
        <v>0</v>
      </c>
      <c r="BJ77" s="47" t="s">
        <v>51</v>
      </c>
      <c r="BK77" s="76">
        <f t="shared" si="19"/>
        <v>0</v>
      </c>
      <c r="BL77" s="47" t="s">
        <v>363</v>
      </c>
      <c r="BM77" s="75" t="s">
        <v>1719</v>
      </c>
    </row>
    <row r="78" spans="3:65" s="48" customFormat="1" ht="24.15" customHeight="1">
      <c r="C78" s="85" t="s">
        <v>262</v>
      </c>
      <c r="D78" s="85" t="s">
        <v>201</v>
      </c>
      <c r="E78" s="86" t="s">
        <v>1720</v>
      </c>
      <c r="F78" s="87" t="s">
        <v>1721</v>
      </c>
      <c r="G78" s="88" t="s">
        <v>1469</v>
      </c>
      <c r="H78" s="89">
        <v>4</v>
      </c>
      <c r="I78" s="528"/>
      <c r="J78" s="90">
        <f t="shared" si="10"/>
        <v>0</v>
      </c>
      <c r="K78" s="522"/>
      <c r="L78" s="533" t="s">
        <v>2130</v>
      </c>
      <c r="M78" s="531" t="s">
        <v>854</v>
      </c>
      <c r="N78" s="78" t="s">
        <v>860</v>
      </c>
      <c r="O78" s="73">
        <v>0</v>
      </c>
      <c r="P78" s="73">
        <f t="shared" si="11"/>
        <v>0</v>
      </c>
      <c r="Q78" s="73">
        <v>0</v>
      </c>
      <c r="R78" s="73">
        <f t="shared" si="12"/>
        <v>0</v>
      </c>
      <c r="S78" s="73">
        <v>0</v>
      </c>
      <c r="T78" s="74">
        <f t="shared" si="13"/>
        <v>0</v>
      </c>
      <c r="AR78" s="75" t="s">
        <v>1444</v>
      </c>
      <c r="AT78" s="75" t="s">
        <v>201</v>
      </c>
      <c r="AU78" s="75" t="s">
        <v>63</v>
      </c>
      <c r="AY78" s="47" t="s">
        <v>881</v>
      </c>
      <c r="BE78" s="76">
        <f t="shared" si="14"/>
        <v>0</v>
      </c>
      <c r="BF78" s="76">
        <f t="shared" si="15"/>
        <v>0</v>
      </c>
      <c r="BG78" s="76">
        <f t="shared" si="16"/>
        <v>0</v>
      </c>
      <c r="BH78" s="76">
        <f t="shared" si="17"/>
        <v>0</v>
      </c>
      <c r="BI78" s="76">
        <f t="shared" si="18"/>
        <v>0</v>
      </c>
      <c r="BJ78" s="47" t="s">
        <v>51</v>
      </c>
      <c r="BK78" s="76">
        <f t="shared" si="19"/>
        <v>0</v>
      </c>
      <c r="BL78" s="47" t="s">
        <v>363</v>
      </c>
      <c r="BM78" s="75" t="s">
        <v>1722</v>
      </c>
    </row>
    <row r="79" spans="3:65" s="48" customFormat="1" ht="24.15" customHeight="1">
      <c r="C79" s="85" t="s">
        <v>266</v>
      </c>
      <c r="D79" s="85" t="s">
        <v>201</v>
      </c>
      <c r="E79" s="86" t="s">
        <v>1723</v>
      </c>
      <c r="F79" s="87" t="s">
        <v>1724</v>
      </c>
      <c r="G79" s="88" t="s">
        <v>1469</v>
      </c>
      <c r="H79" s="89">
        <v>3</v>
      </c>
      <c r="I79" s="528"/>
      <c r="J79" s="90">
        <f t="shared" si="10"/>
        <v>0</v>
      </c>
      <c r="K79" s="522"/>
      <c r="L79" s="533" t="s">
        <v>2130</v>
      </c>
      <c r="M79" s="531" t="s">
        <v>854</v>
      </c>
      <c r="N79" s="78" t="s">
        <v>860</v>
      </c>
      <c r="O79" s="73">
        <v>0</v>
      </c>
      <c r="P79" s="73">
        <f t="shared" si="11"/>
        <v>0</v>
      </c>
      <c r="Q79" s="73">
        <v>0</v>
      </c>
      <c r="R79" s="73">
        <f t="shared" si="12"/>
        <v>0</v>
      </c>
      <c r="S79" s="73">
        <v>0</v>
      </c>
      <c r="T79" s="74">
        <f t="shared" si="13"/>
        <v>0</v>
      </c>
      <c r="AR79" s="75" t="s">
        <v>1470</v>
      </c>
      <c r="AT79" s="75" t="s">
        <v>201</v>
      </c>
      <c r="AU79" s="75" t="s">
        <v>63</v>
      </c>
      <c r="AY79" s="47" t="s">
        <v>881</v>
      </c>
      <c r="BE79" s="76">
        <f t="shared" si="14"/>
        <v>0</v>
      </c>
      <c r="BF79" s="76">
        <f t="shared" si="15"/>
        <v>0</v>
      </c>
      <c r="BG79" s="76">
        <f t="shared" si="16"/>
        <v>0</v>
      </c>
      <c r="BH79" s="76">
        <f t="shared" si="17"/>
        <v>0</v>
      </c>
      <c r="BI79" s="76">
        <f t="shared" si="18"/>
        <v>0</v>
      </c>
      <c r="BJ79" s="47" t="s">
        <v>51</v>
      </c>
      <c r="BK79" s="76">
        <f t="shared" si="19"/>
        <v>0</v>
      </c>
      <c r="BL79" s="47" t="s">
        <v>1470</v>
      </c>
      <c r="BM79" s="75" t="s">
        <v>1725</v>
      </c>
    </row>
    <row r="80" spans="3:65" s="48" customFormat="1" ht="24.15" customHeight="1">
      <c r="C80" s="85" t="s">
        <v>270</v>
      </c>
      <c r="D80" s="85" t="s">
        <v>201</v>
      </c>
      <c r="E80" s="86" t="s">
        <v>1726</v>
      </c>
      <c r="F80" s="87" t="s">
        <v>1727</v>
      </c>
      <c r="G80" s="88" t="s">
        <v>1469</v>
      </c>
      <c r="H80" s="89">
        <v>2</v>
      </c>
      <c r="I80" s="528"/>
      <c r="J80" s="90">
        <f t="shared" si="10"/>
        <v>0</v>
      </c>
      <c r="K80" s="522"/>
      <c r="L80" s="533" t="s">
        <v>2130</v>
      </c>
      <c r="M80" s="531" t="s">
        <v>854</v>
      </c>
      <c r="N80" s="78" t="s">
        <v>860</v>
      </c>
      <c r="O80" s="73">
        <v>0</v>
      </c>
      <c r="P80" s="73">
        <f t="shared" si="11"/>
        <v>0</v>
      </c>
      <c r="Q80" s="73">
        <v>0</v>
      </c>
      <c r="R80" s="73">
        <f t="shared" si="12"/>
        <v>0</v>
      </c>
      <c r="S80" s="73">
        <v>0</v>
      </c>
      <c r="T80" s="74">
        <f t="shared" si="13"/>
        <v>0</v>
      </c>
      <c r="AR80" s="75" t="s">
        <v>1470</v>
      </c>
      <c r="AT80" s="75" t="s">
        <v>201</v>
      </c>
      <c r="AU80" s="75" t="s">
        <v>63</v>
      </c>
      <c r="AY80" s="47" t="s">
        <v>881</v>
      </c>
      <c r="BE80" s="76">
        <f t="shared" si="14"/>
        <v>0</v>
      </c>
      <c r="BF80" s="76">
        <f t="shared" si="15"/>
        <v>0</v>
      </c>
      <c r="BG80" s="76">
        <f t="shared" si="16"/>
        <v>0</v>
      </c>
      <c r="BH80" s="76">
        <f t="shared" si="17"/>
        <v>0</v>
      </c>
      <c r="BI80" s="76">
        <f t="shared" si="18"/>
        <v>0</v>
      </c>
      <c r="BJ80" s="47" t="s">
        <v>51</v>
      </c>
      <c r="BK80" s="76">
        <f t="shared" si="19"/>
        <v>0</v>
      </c>
      <c r="BL80" s="47" t="s">
        <v>1470</v>
      </c>
      <c r="BM80" s="75" t="s">
        <v>1728</v>
      </c>
    </row>
    <row r="81" spans="3:65" s="48" customFormat="1" ht="24.15" customHeight="1">
      <c r="C81" s="85" t="s">
        <v>275</v>
      </c>
      <c r="D81" s="85" t="s">
        <v>201</v>
      </c>
      <c r="E81" s="86" t="s">
        <v>1729</v>
      </c>
      <c r="F81" s="87" t="s">
        <v>1730</v>
      </c>
      <c r="G81" s="88" t="s">
        <v>1469</v>
      </c>
      <c r="H81" s="89">
        <v>2</v>
      </c>
      <c r="I81" s="528"/>
      <c r="J81" s="90">
        <f t="shared" si="10"/>
        <v>0</v>
      </c>
      <c r="K81" s="522"/>
      <c r="L81" s="533" t="s">
        <v>2130</v>
      </c>
      <c r="M81" s="531" t="s">
        <v>854</v>
      </c>
      <c r="N81" s="78" t="s">
        <v>860</v>
      </c>
      <c r="O81" s="73">
        <v>0</v>
      </c>
      <c r="P81" s="73">
        <f t="shared" si="11"/>
        <v>0</v>
      </c>
      <c r="Q81" s="73">
        <v>0</v>
      </c>
      <c r="R81" s="73">
        <f t="shared" si="12"/>
        <v>0</v>
      </c>
      <c r="S81" s="73">
        <v>0</v>
      </c>
      <c r="T81" s="74">
        <f t="shared" si="13"/>
        <v>0</v>
      </c>
      <c r="AR81" s="75" t="s">
        <v>1470</v>
      </c>
      <c r="AT81" s="75" t="s">
        <v>201</v>
      </c>
      <c r="AU81" s="75" t="s">
        <v>63</v>
      </c>
      <c r="AY81" s="47" t="s">
        <v>881</v>
      </c>
      <c r="BE81" s="76">
        <f t="shared" si="14"/>
        <v>0</v>
      </c>
      <c r="BF81" s="76">
        <f t="shared" si="15"/>
        <v>0</v>
      </c>
      <c r="BG81" s="76">
        <f t="shared" si="16"/>
        <v>0</v>
      </c>
      <c r="BH81" s="76">
        <f t="shared" si="17"/>
        <v>0</v>
      </c>
      <c r="BI81" s="76">
        <f t="shared" si="18"/>
        <v>0</v>
      </c>
      <c r="BJ81" s="47" t="s">
        <v>51</v>
      </c>
      <c r="BK81" s="76">
        <f t="shared" si="19"/>
        <v>0</v>
      </c>
      <c r="BL81" s="47" t="s">
        <v>1470</v>
      </c>
      <c r="BM81" s="75" t="s">
        <v>1731</v>
      </c>
    </row>
    <row r="82" spans="3:65" s="48" customFormat="1" ht="24.15" customHeight="1">
      <c r="C82" s="79" t="s">
        <v>281</v>
      </c>
      <c r="D82" s="79" t="s">
        <v>883</v>
      </c>
      <c r="E82" s="80" t="s">
        <v>1732</v>
      </c>
      <c r="F82" s="81" t="s">
        <v>1733</v>
      </c>
      <c r="G82" s="82" t="s">
        <v>260</v>
      </c>
      <c r="H82" s="83">
        <v>1</v>
      </c>
      <c r="I82" s="527"/>
      <c r="J82" s="84">
        <f t="shared" si="10"/>
        <v>0</v>
      </c>
      <c r="K82" s="521"/>
      <c r="L82" s="533" t="s">
        <v>2474</v>
      </c>
      <c r="M82" s="530" t="s">
        <v>854</v>
      </c>
      <c r="N82" s="72" t="s">
        <v>860</v>
      </c>
      <c r="O82" s="73">
        <v>2.677</v>
      </c>
      <c r="P82" s="73">
        <f t="shared" si="11"/>
        <v>2.677</v>
      </c>
      <c r="Q82" s="73">
        <v>0</v>
      </c>
      <c r="R82" s="73">
        <f t="shared" si="12"/>
        <v>0</v>
      </c>
      <c r="S82" s="73">
        <v>0</v>
      </c>
      <c r="T82" s="74">
        <f t="shared" si="13"/>
        <v>0</v>
      </c>
      <c r="AR82" s="75" t="s">
        <v>363</v>
      </c>
      <c r="AT82" s="75" t="s">
        <v>883</v>
      </c>
      <c r="AU82" s="75" t="s">
        <v>63</v>
      </c>
      <c r="AY82" s="47" t="s">
        <v>881</v>
      </c>
      <c r="BE82" s="76">
        <f t="shared" si="14"/>
        <v>0</v>
      </c>
      <c r="BF82" s="76">
        <f t="shared" si="15"/>
        <v>0</v>
      </c>
      <c r="BG82" s="76">
        <f t="shared" si="16"/>
        <v>0</v>
      </c>
      <c r="BH82" s="76">
        <f t="shared" si="17"/>
        <v>0</v>
      </c>
      <c r="BI82" s="76">
        <f t="shared" si="18"/>
        <v>0</v>
      </c>
      <c r="BJ82" s="47" t="s">
        <v>51</v>
      </c>
      <c r="BK82" s="76">
        <f t="shared" si="19"/>
        <v>0</v>
      </c>
      <c r="BL82" s="47" t="s">
        <v>363</v>
      </c>
      <c r="BM82" s="75" t="s">
        <v>1734</v>
      </c>
    </row>
    <row r="83" spans="3:65" s="48" customFormat="1" ht="24.15" customHeight="1">
      <c r="C83" s="85" t="s">
        <v>290</v>
      </c>
      <c r="D83" s="85" t="s">
        <v>201</v>
      </c>
      <c r="E83" s="86" t="s">
        <v>1735</v>
      </c>
      <c r="F83" s="87" t="s">
        <v>1736</v>
      </c>
      <c r="G83" s="88" t="s">
        <v>1469</v>
      </c>
      <c r="H83" s="89">
        <v>1</v>
      </c>
      <c r="I83" s="528"/>
      <c r="J83" s="90">
        <f t="shared" si="10"/>
        <v>0</v>
      </c>
      <c r="K83" s="522"/>
      <c r="L83" s="533" t="s">
        <v>2130</v>
      </c>
      <c r="M83" s="531" t="s">
        <v>854</v>
      </c>
      <c r="N83" s="78" t="s">
        <v>860</v>
      </c>
      <c r="O83" s="73">
        <v>0</v>
      </c>
      <c r="P83" s="73">
        <f t="shared" si="11"/>
        <v>0</v>
      </c>
      <c r="Q83" s="73">
        <v>0</v>
      </c>
      <c r="R83" s="73">
        <f t="shared" si="12"/>
        <v>0</v>
      </c>
      <c r="S83" s="73">
        <v>0</v>
      </c>
      <c r="T83" s="74">
        <f t="shared" si="13"/>
        <v>0</v>
      </c>
      <c r="AR83" s="75" t="s">
        <v>1444</v>
      </c>
      <c r="AT83" s="75" t="s">
        <v>201</v>
      </c>
      <c r="AU83" s="75" t="s">
        <v>63</v>
      </c>
      <c r="AY83" s="47" t="s">
        <v>881</v>
      </c>
      <c r="BE83" s="76">
        <f t="shared" si="14"/>
        <v>0</v>
      </c>
      <c r="BF83" s="76">
        <f t="shared" si="15"/>
        <v>0</v>
      </c>
      <c r="BG83" s="76">
        <f t="shared" si="16"/>
        <v>0</v>
      </c>
      <c r="BH83" s="76">
        <f t="shared" si="17"/>
        <v>0</v>
      </c>
      <c r="BI83" s="76">
        <f t="shared" si="18"/>
        <v>0</v>
      </c>
      <c r="BJ83" s="47" t="s">
        <v>51</v>
      </c>
      <c r="BK83" s="76">
        <f t="shared" si="19"/>
        <v>0</v>
      </c>
      <c r="BL83" s="47" t="s">
        <v>363</v>
      </c>
      <c r="BM83" s="75" t="s">
        <v>1737</v>
      </c>
    </row>
    <row r="84" spans="3:65" s="48" customFormat="1" ht="16.5" customHeight="1">
      <c r="C84" s="79" t="s">
        <v>296</v>
      </c>
      <c r="D84" s="79" t="s">
        <v>883</v>
      </c>
      <c r="E84" s="80" t="s">
        <v>1484</v>
      </c>
      <c r="F84" s="81" t="s">
        <v>1485</v>
      </c>
      <c r="G84" s="82" t="s">
        <v>260</v>
      </c>
      <c r="H84" s="83">
        <v>7</v>
      </c>
      <c r="I84" s="527"/>
      <c r="J84" s="84">
        <f t="shared" si="10"/>
        <v>0</v>
      </c>
      <c r="K84" s="521"/>
      <c r="L84" s="533" t="s">
        <v>2474</v>
      </c>
      <c r="M84" s="530" t="s">
        <v>854</v>
      </c>
      <c r="N84" s="72" t="s">
        <v>860</v>
      </c>
      <c r="O84" s="73">
        <v>1.367</v>
      </c>
      <c r="P84" s="73">
        <f t="shared" si="11"/>
        <v>9.568999999999999</v>
      </c>
      <c r="Q84" s="73">
        <v>0</v>
      </c>
      <c r="R84" s="73">
        <f t="shared" si="12"/>
        <v>0</v>
      </c>
      <c r="S84" s="73">
        <v>0</v>
      </c>
      <c r="T84" s="74">
        <f t="shared" si="13"/>
        <v>0</v>
      </c>
      <c r="AR84" s="75" t="s">
        <v>363</v>
      </c>
      <c r="AT84" s="75" t="s">
        <v>883</v>
      </c>
      <c r="AU84" s="75" t="s">
        <v>63</v>
      </c>
      <c r="AY84" s="47" t="s">
        <v>881</v>
      </c>
      <c r="BE84" s="76">
        <f t="shared" si="14"/>
        <v>0</v>
      </c>
      <c r="BF84" s="76">
        <f t="shared" si="15"/>
        <v>0</v>
      </c>
      <c r="BG84" s="76">
        <f t="shared" si="16"/>
        <v>0</v>
      </c>
      <c r="BH84" s="76">
        <f t="shared" si="17"/>
        <v>0</v>
      </c>
      <c r="BI84" s="76">
        <f t="shared" si="18"/>
        <v>0</v>
      </c>
      <c r="BJ84" s="47" t="s">
        <v>51</v>
      </c>
      <c r="BK84" s="76">
        <f t="shared" si="19"/>
        <v>0</v>
      </c>
      <c r="BL84" s="47" t="s">
        <v>363</v>
      </c>
      <c r="BM84" s="75" t="s">
        <v>1738</v>
      </c>
    </row>
    <row r="85" spans="3:65" s="48" customFormat="1" ht="24.15" customHeight="1">
      <c r="C85" s="85" t="s">
        <v>305</v>
      </c>
      <c r="D85" s="85" t="s">
        <v>201</v>
      </c>
      <c r="E85" s="86" t="s">
        <v>1487</v>
      </c>
      <c r="F85" s="87" t="s">
        <v>1488</v>
      </c>
      <c r="G85" s="88" t="s">
        <v>1469</v>
      </c>
      <c r="H85" s="89">
        <v>7</v>
      </c>
      <c r="I85" s="528"/>
      <c r="J85" s="90">
        <f t="shared" si="10"/>
        <v>0</v>
      </c>
      <c r="K85" s="522"/>
      <c r="L85" s="533" t="s">
        <v>2130</v>
      </c>
      <c r="M85" s="531" t="s">
        <v>854</v>
      </c>
      <c r="N85" s="78" t="s">
        <v>860</v>
      </c>
      <c r="O85" s="73">
        <v>0</v>
      </c>
      <c r="P85" s="73">
        <f t="shared" si="11"/>
        <v>0</v>
      </c>
      <c r="Q85" s="73">
        <v>0</v>
      </c>
      <c r="R85" s="73">
        <f t="shared" si="12"/>
        <v>0</v>
      </c>
      <c r="S85" s="73">
        <v>0</v>
      </c>
      <c r="T85" s="74">
        <f t="shared" si="13"/>
        <v>0</v>
      </c>
      <c r="AR85" s="75" t="s">
        <v>1444</v>
      </c>
      <c r="AT85" s="75" t="s">
        <v>201</v>
      </c>
      <c r="AU85" s="75" t="s">
        <v>63</v>
      </c>
      <c r="AY85" s="47" t="s">
        <v>881</v>
      </c>
      <c r="BE85" s="76">
        <f t="shared" si="14"/>
        <v>0</v>
      </c>
      <c r="BF85" s="76">
        <f t="shared" si="15"/>
        <v>0</v>
      </c>
      <c r="BG85" s="76">
        <f t="shared" si="16"/>
        <v>0</v>
      </c>
      <c r="BH85" s="76">
        <f t="shared" si="17"/>
        <v>0</v>
      </c>
      <c r="BI85" s="76">
        <f t="shared" si="18"/>
        <v>0</v>
      </c>
      <c r="BJ85" s="47" t="s">
        <v>51</v>
      </c>
      <c r="BK85" s="76">
        <f t="shared" si="19"/>
        <v>0</v>
      </c>
      <c r="BL85" s="47" t="s">
        <v>363</v>
      </c>
      <c r="BM85" s="75" t="s">
        <v>1739</v>
      </c>
    </row>
    <row r="86" spans="3:65" s="48" customFormat="1" ht="16.5" customHeight="1">
      <c r="C86" s="85" t="s">
        <v>232</v>
      </c>
      <c r="D86" s="85" t="s">
        <v>201</v>
      </c>
      <c r="E86" s="86" t="s">
        <v>1490</v>
      </c>
      <c r="F86" s="87" t="s">
        <v>1491</v>
      </c>
      <c r="G86" s="88" t="s">
        <v>260</v>
      </c>
      <c r="H86" s="89">
        <v>7</v>
      </c>
      <c r="I86" s="528"/>
      <c r="J86" s="90">
        <f t="shared" si="10"/>
        <v>0</v>
      </c>
      <c r="K86" s="522"/>
      <c r="L86" s="533" t="s">
        <v>2474</v>
      </c>
      <c r="M86" s="531" t="s">
        <v>854</v>
      </c>
      <c r="N86" s="78" t="s">
        <v>860</v>
      </c>
      <c r="O86" s="73">
        <v>0</v>
      </c>
      <c r="P86" s="73">
        <f t="shared" si="11"/>
        <v>0</v>
      </c>
      <c r="Q86" s="73">
        <v>3E-05</v>
      </c>
      <c r="R86" s="73">
        <f t="shared" si="12"/>
        <v>0.00021</v>
      </c>
      <c r="S86" s="73">
        <v>0</v>
      </c>
      <c r="T86" s="74">
        <f t="shared" si="13"/>
        <v>0</v>
      </c>
      <c r="AR86" s="75" t="s">
        <v>1444</v>
      </c>
      <c r="AT86" s="75" t="s">
        <v>201</v>
      </c>
      <c r="AU86" s="75" t="s">
        <v>63</v>
      </c>
      <c r="AY86" s="47" t="s">
        <v>881</v>
      </c>
      <c r="BE86" s="76">
        <f t="shared" si="14"/>
        <v>0</v>
      </c>
      <c r="BF86" s="76">
        <f t="shared" si="15"/>
        <v>0</v>
      </c>
      <c r="BG86" s="76">
        <f t="shared" si="16"/>
        <v>0</v>
      </c>
      <c r="BH86" s="76">
        <f t="shared" si="17"/>
        <v>0</v>
      </c>
      <c r="BI86" s="76">
        <f t="shared" si="18"/>
        <v>0</v>
      </c>
      <c r="BJ86" s="47" t="s">
        <v>51</v>
      </c>
      <c r="BK86" s="76">
        <f t="shared" si="19"/>
        <v>0</v>
      </c>
      <c r="BL86" s="47" t="s">
        <v>363</v>
      </c>
      <c r="BM86" s="75" t="s">
        <v>1740</v>
      </c>
    </row>
    <row r="87" spans="3:65" s="48" customFormat="1" ht="16.5" customHeight="1">
      <c r="C87" s="85" t="s">
        <v>315</v>
      </c>
      <c r="D87" s="85" t="s">
        <v>201</v>
      </c>
      <c r="E87" s="86" t="s">
        <v>1493</v>
      </c>
      <c r="F87" s="87" t="s">
        <v>1494</v>
      </c>
      <c r="G87" s="88" t="s">
        <v>74</v>
      </c>
      <c r="H87" s="89">
        <v>70</v>
      </c>
      <c r="I87" s="528"/>
      <c r="J87" s="90">
        <f t="shared" si="10"/>
        <v>0</v>
      </c>
      <c r="K87" s="522"/>
      <c r="L87" s="533" t="s">
        <v>2474</v>
      </c>
      <c r="M87" s="531" t="s">
        <v>854</v>
      </c>
      <c r="N87" s="78" t="s">
        <v>860</v>
      </c>
      <c r="O87" s="73">
        <v>0</v>
      </c>
      <c r="P87" s="73">
        <f t="shared" si="11"/>
        <v>0</v>
      </c>
      <c r="Q87" s="73">
        <v>0.00012</v>
      </c>
      <c r="R87" s="73">
        <f t="shared" si="12"/>
        <v>0.0084</v>
      </c>
      <c r="S87" s="73">
        <v>0</v>
      </c>
      <c r="T87" s="74">
        <f t="shared" si="13"/>
        <v>0</v>
      </c>
      <c r="AR87" s="75" t="s">
        <v>1444</v>
      </c>
      <c r="AT87" s="75" t="s">
        <v>201</v>
      </c>
      <c r="AU87" s="75" t="s">
        <v>63</v>
      </c>
      <c r="AY87" s="47" t="s">
        <v>881</v>
      </c>
      <c r="BE87" s="76">
        <f t="shared" si="14"/>
        <v>0</v>
      </c>
      <c r="BF87" s="76">
        <f t="shared" si="15"/>
        <v>0</v>
      </c>
      <c r="BG87" s="76">
        <f t="shared" si="16"/>
        <v>0</v>
      </c>
      <c r="BH87" s="76">
        <f t="shared" si="17"/>
        <v>0</v>
      </c>
      <c r="BI87" s="76">
        <f t="shared" si="18"/>
        <v>0</v>
      </c>
      <c r="BJ87" s="47" t="s">
        <v>51</v>
      </c>
      <c r="BK87" s="76">
        <f t="shared" si="19"/>
        <v>0</v>
      </c>
      <c r="BL87" s="47" t="s">
        <v>363</v>
      </c>
      <c r="BM87" s="75" t="s">
        <v>1741</v>
      </c>
    </row>
    <row r="88" spans="4:51" s="95" customFormat="1" ht="11.4">
      <c r="D88" s="207" t="s">
        <v>1418</v>
      </c>
      <c r="E88" s="96" t="s">
        <v>854</v>
      </c>
      <c r="F88" s="208" t="s">
        <v>1742</v>
      </c>
      <c r="H88" s="209">
        <v>70</v>
      </c>
      <c r="I88" s="536"/>
      <c r="L88" s="533" t="s">
        <v>2474</v>
      </c>
      <c r="T88" s="97"/>
      <c r="AT88" s="96" t="s">
        <v>1418</v>
      </c>
      <c r="AU88" s="96" t="s">
        <v>63</v>
      </c>
      <c r="AV88" s="95" t="s">
        <v>63</v>
      </c>
      <c r="AW88" s="95" t="s">
        <v>1420</v>
      </c>
      <c r="AX88" s="95" t="s">
        <v>51</v>
      </c>
      <c r="AY88" s="96" t="s">
        <v>881</v>
      </c>
    </row>
    <row r="89" spans="3:65" s="48" customFormat="1" ht="16.5" customHeight="1">
      <c r="C89" s="79" t="s">
        <v>319</v>
      </c>
      <c r="D89" s="79" t="s">
        <v>883</v>
      </c>
      <c r="E89" s="80" t="s">
        <v>1743</v>
      </c>
      <c r="F89" s="81" t="s">
        <v>1744</v>
      </c>
      <c r="G89" s="82" t="s">
        <v>260</v>
      </c>
      <c r="H89" s="83">
        <v>3</v>
      </c>
      <c r="I89" s="527"/>
      <c r="J89" s="84">
        <f>ROUND(I89*H89,2)</f>
        <v>0</v>
      </c>
      <c r="K89" s="521"/>
      <c r="L89" s="533" t="s">
        <v>2474</v>
      </c>
      <c r="M89" s="530" t="s">
        <v>854</v>
      </c>
      <c r="N89" s="72" t="s">
        <v>860</v>
      </c>
      <c r="O89" s="73">
        <v>1.417</v>
      </c>
      <c r="P89" s="73">
        <f>O89*H89</f>
        <v>4.251</v>
      </c>
      <c r="Q89" s="73">
        <v>0</v>
      </c>
      <c r="R89" s="73">
        <f>Q89*H89</f>
        <v>0</v>
      </c>
      <c r="S89" s="73">
        <v>0</v>
      </c>
      <c r="T89" s="74">
        <f>S89*H89</f>
        <v>0</v>
      </c>
      <c r="AR89" s="75" t="s">
        <v>363</v>
      </c>
      <c r="AT89" s="75" t="s">
        <v>883</v>
      </c>
      <c r="AU89" s="75" t="s">
        <v>63</v>
      </c>
      <c r="AY89" s="47" t="s">
        <v>881</v>
      </c>
      <c r="BE89" s="76">
        <f>IF(N89="základní",J89,0)</f>
        <v>0</v>
      </c>
      <c r="BF89" s="76">
        <f>IF(N89="snížená",J89,0)</f>
        <v>0</v>
      </c>
      <c r="BG89" s="76">
        <f>IF(N89="zákl. přenesená",J89,0)</f>
        <v>0</v>
      </c>
      <c r="BH89" s="76">
        <f>IF(N89="sníž. přenesená",J89,0)</f>
        <v>0</v>
      </c>
      <c r="BI89" s="76">
        <f>IF(N89="nulová",J89,0)</f>
        <v>0</v>
      </c>
      <c r="BJ89" s="47" t="s">
        <v>51</v>
      </c>
      <c r="BK89" s="76">
        <f>ROUND(I89*H89,2)</f>
        <v>0</v>
      </c>
      <c r="BL89" s="47" t="s">
        <v>363</v>
      </c>
      <c r="BM89" s="75" t="s">
        <v>1745</v>
      </c>
    </row>
    <row r="90" spans="3:65" s="48" customFormat="1" ht="24.15" customHeight="1">
      <c r="C90" s="85" t="s">
        <v>322</v>
      </c>
      <c r="D90" s="85" t="s">
        <v>201</v>
      </c>
      <c r="E90" s="86" t="s">
        <v>1746</v>
      </c>
      <c r="F90" s="87" t="s">
        <v>1747</v>
      </c>
      <c r="G90" s="88" t="s">
        <v>1469</v>
      </c>
      <c r="H90" s="89">
        <v>3</v>
      </c>
      <c r="I90" s="528"/>
      <c r="J90" s="90">
        <f>ROUND(I90*H90,2)</f>
        <v>0</v>
      </c>
      <c r="K90" s="522"/>
      <c r="L90" s="533" t="s">
        <v>2130</v>
      </c>
      <c r="M90" s="531" t="s">
        <v>854</v>
      </c>
      <c r="N90" s="78" t="s">
        <v>860</v>
      </c>
      <c r="O90" s="73">
        <v>0</v>
      </c>
      <c r="P90" s="73">
        <f>O90*H90</f>
        <v>0</v>
      </c>
      <c r="Q90" s="73">
        <v>0</v>
      </c>
      <c r="R90" s="73">
        <f>Q90*H90</f>
        <v>0</v>
      </c>
      <c r="S90" s="73">
        <v>0</v>
      </c>
      <c r="T90" s="74">
        <f>S90*H90</f>
        <v>0</v>
      </c>
      <c r="AR90" s="75" t="s">
        <v>1470</v>
      </c>
      <c r="AT90" s="75" t="s">
        <v>201</v>
      </c>
      <c r="AU90" s="75" t="s">
        <v>63</v>
      </c>
      <c r="AY90" s="47" t="s">
        <v>881</v>
      </c>
      <c r="BE90" s="76">
        <f>IF(N90="základní",J90,0)</f>
        <v>0</v>
      </c>
      <c r="BF90" s="76">
        <f>IF(N90="snížená",J90,0)</f>
        <v>0</v>
      </c>
      <c r="BG90" s="76">
        <f>IF(N90="zákl. přenesená",J90,0)</f>
        <v>0</v>
      </c>
      <c r="BH90" s="76">
        <f>IF(N90="sníž. přenesená",J90,0)</f>
        <v>0</v>
      </c>
      <c r="BI90" s="76">
        <f>IF(N90="nulová",J90,0)</f>
        <v>0</v>
      </c>
      <c r="BJ90" s="47" t="s">
        <v>51</v>
      </c>
      <c r="BK90" s="76">
        <f>ROUND(I90*H90,2)</f>
        <v>0</v>
      </c>
      <c r="BL90" s="47" t="s">
        <v>1470</v>
      </c>
      <c r="BM90" s="75" t="s">
        <v>1748</v>
      </c>
    </row>
    <row r="91" spans="3:65" s="48" customFormat="1" ht="16.5" customHeight="1">
      <c r="C91" s="85" t="s">
        <v>325</v>
      </c>
      <c r="D91" s="85" t="s">
        <v>201</v>
      </c>
      <c r="E91" s="86" t="s">
        <v>1490</v>
      </c>
      <c r="F91" s="87" t="s">
        <v>1491</v>
      </c>
      <c r="G91" s="88" t="s">
        <v>260</v>
      </c>
      <c r="H91" s="89">
        <v>6</v>
      </c>
      <c r="I91" s="528"/>
      <c r="J91" s="90">
        <f>ROUND(I91*H91,2)</f>
        <v>0</v>
      </c>
      <c r="K91" s="522"/>
      <c r="L91" s="533" t="s">
        <v>2474</v>
      </c>
      <c r="M91" s="531" t="s">
        <v>854</v>
      </c>
      <c r="N91" s="78" t="s">
        <v>860</v>
      </c>
      <c r="O91" s="73">
        <v>0</v>
      </c>
      <c r="P91" s="73">
        <f>O91*H91</f>
        <v>0</v>
      </c>
      <c r="Q91" s="73">
        <v>3E-05</v>
      </c>
      <c r="R91" s="73">
        <f>Q91*H91</f>
        <v>0.00018</v>
      </c>
      <c r="S91" s="73">
        <v>0</v>
      </c>
      <c r="T91" s="74">
        <f>S91*H91</f>
        <v>0</v>
      </c>
      <c r="AR91" s="75" t="s">
        <v>1444</v>
      </c>
      <c r="AT91" s="75" t="s">
        <v>201</v>
      </c>
      <c r="AU91" s="75" t="s">
        <v>63</v>
      </c>
      <c r="AY91" s="47" t="s">
        <v>881</v>
      </c>
      <c r="BE91" s="76">
        <f>IF(N91="základní",J91,0)</f>
        <v>0</v>
      </c>
      <c r="BF91" s="76">
        <f>IF(N91="snížená",J91,0)</f>
        <v>0</v>
      </c>
      <c r="BG91" s="76">
        <f>IF(N91="zákl. přenesená",J91,0)</f>
        <v>0</v>
      </c>
      <c r="BH91" s="76">
        <f>IF(N91="sníž. přenesená",J91,0)</f>
        <v>0</v>
      </c>
      <c r="BI91" s="76">
        <f>IF(N91="nulová",J91,0)</f>
        <v>0</v>
      </c>
      <c r="BJ91" s="47" t="s">
        <v>51</v>
      </c>
      <c r="BK91" s="76">
        <f>ROUND(I91*H91,2)</f>
        <v>0</v>
      </c>
      <c r="BL91" s="47" t="s">
        <v>363</v>
      </c>
      <c r="BM91" s="75" t="s">
        <v>1749</v>
      </c>
    </row>
    <row r="92" spans="3:65" s="48" customFormat="1" ht="16.5" customHeight="1">
      <c r="C92" s="85" t="s">
        <v>328</v>
      </c>
      <c r="D92" s="85" t="s">
        <v>201</v>
      </c>
      <c r="E92" s="86" t="s">
        <v>1493</v>
      </c>
      <c r="F92" s="87" t="s">
        <v>1494</v>
      </c>
      <c r="G92" s="88" t="s">
        <v>74</v>
      </c>
      <c r="H92" s="89">
        <v>42</v>
      </c>
      <c r="I92" s="528"/>
      <c r="J92" s="90">
        <f>ROUND(I92*H92,2)</f>
        <v>0</v>
      </c>
      <c r="K92" s="522"/>
      <c r="L92" s="533" t="s">
        <v>2474</v>
      </c>
      <c r="M92" s="531" t="s">
        <v>854</v>
      </c>
      <c r="N92" s="78" t="s">
        <v>860</v>
      </c>
      <c r="O92" s="73">
        <v>0</v>
      </c>
      <c r="P92" s="73">
        <f>O92*H92</f>
        <v>0</v>
      </c>
      <c r="Q92" s="73">
        <v>0.00012</v>
      </c>
      <c r="R92" s="73">
        <f>Q92*H92</f>
        <v>0.00504</v>
      </c>
      <c r="S92" s="73">
        <v>0</v>
      </c>
      <c r="T92" s="74">
        <f>S92*H92</f>
        <v>0</v>
      </c>
      <c r="AR92" s="75" t="s">
        <v>1444</v>
      </c>
      <c r="AT92" s="75" t="s">
        <v>201</v>
      </c>
      <c r="AU92" s="75" t="s">
        <v>63</v>
      </c>
      <c r="AY92" s="47" t="s">
        <v>881</v>
      </c>
      <c r="BE92" s="76">
        <f>IF(N92="základní",J92,0)</f>
        <v>0</v>
      </c>
      <c r="BF92" s="76">
        <f>IF(N92="snížená",J92,0)</f>
        <v>0</v>
      </c>
      <c r="BG92" s="76">
        <f>IF(N92="zákl. přenesená",J92,0)</f>
        <v>0</v>
      </c>
      <c r="BH92" s="76">
        <f>IF(N92="sníž. přenesená",J92,0)</f>
        <v>0</v>
      </c>
      <c r="BI92" s="76">
        <f>IF(N92="nulová",J92,0)</f>
        <v>0</v>
      </c>
      <c r="BJ92" s="47" t="s">
        <v>51</v>
      </c>
      <c r="BK92" s="76">
        <f>ROUND(I92*H92,2)</f>
        <v>0</v>
      </c>
      <c r="BL92" s="47" t="s">
        <v>363</v>
      </c>
      <c r="BM92" s="75" t="s">
        <v>1750</v>
      </c>
    </row>
    <row r="93" spans="4:51" s="95" customFormat="1" ht="10.2">
      <c r="D93" s="207" t="s">
        <v>1418</v>
      </c>
      <c r="E93" s="96" t="s">
        <v>854</v>
      </c>
      <c r="F93" s="208" t="s">
        <v>1751</v>
      </c>
      <c r="H93" s="209">
        <v>42</v>
      </c>
      <c r="T93" s="97"/>
      <c r="AT93" s="96" t="s">
        <v>1418</v>
      </c>
      <c r="AU93" s="96" t="s">
        <v>63</v>
      </c>
      <c r="AV93" s="95" t="s">
        <v>63</v>
      </c>
      <c r="AW93" s="95" t="s">
        <v>1420</v>
      </c>
      <c r="AX93" s="95" t="s">
        <v>51</v>
      </c>
      <c r="AY93" s="96" t="s">
        <v>881</v>
      </c>
    </row>
    <row r="94" spans="3:65" s="48" customFormat="1" ht="21.75" customHeight="1">
      <c r="C94" s="79" t="s">
        <v>132</v>
      </c>
      <c r="D94" s="79" t="s">
        <v>883</v>
      </c>
      <c r="E94" s="80" t="s">
        <v>1497</v>
      </c>
      <c r="F94" s="81" t="s">
        <v>1498</v>
      </c>
      <c r="G94" s="82" t="s">
        <v>1499</v>
      </c>
      <c r="H94" s="83">
        <v>1</v>
      </c>
      <c r="I94" s="527"/>
      <c r="J94" s="84">
        <f>ROUND(I94*H94,2)</f>
        <v>0</v>
      </c>
      <c r="K94" s="521"/>
      <c r="L94" s="533" t="s">
        <v>2474</v>
      </c>
      <c r="M94" s="530" t="s">
        <v>854</v>
      </c>
      <c r="N94" s="72" t="s">
        <v>860</v>
      </c>
      <c r="O94" s="73">
        <v>8.727</v>
      </c>
      <c r="P94" s="73">
        <f>O94*H94</f>
        <v>8.727</v>
      </c>
      <c r="Q94" s="73">
        <v>0</v>
      </c>
      <c r="R94" s="73">
        <f>Q94*H94</f>
        <v>0</v>
      </c>
      <c r="S94" s="73">
        <v>0</v>
      </c>
      <c r="T94" s="74">
        <f>S94*H94</f>
        <v>0</v>
      </c>
      <c r="AR94" s="75" t="s">
        <v>363</v>
      </c>
      <c r="AT94" s="75" t="s">
        <v>883</v>
      </c>
      <c r="AU94" s="75" t="s">
        <v>63</v>
      </c>
      <c r="AY94" s="47" t="s">
        <v>881</v>
      </c>
      <c r="BE94" s="76">
        <f>IF(N94="základní",J94,0)</f>
        <v>0</v>
      </c>
      <c r="BF94" s="76">
        <f>IF(N94="snížená",J94,0)</f>
        <v>0</v>
      </c>
      <c r="BG94" s="76">
        <f>IF(N94="zákl. přenesená",J94,0)</f>
        <v>0</v>
      </c>
      <c r="BH94" s="76">
        <f>IF(N94="sníž. přenesená",J94,0)</f>
        <v>0</v>
      </c>
      <c r="BI94" s="76">
        <f>IF(N94="nulová",J94,0)</f>
        <v>0</v>
      </c>
      <c r="BJ94" s="47" t="s">
        <v>51</v>
      </c>
      <c r="BK94" s="76">
        <f>ROUND(I94*H94,2)</f>
        <v>0</v>
      </c>
      <c r="BL94" s="47" t="s">
        <v>363</v>
      </c>
      <c r="BM94" s="75" t="s">
        <v>1752</v>
      </c>
    </row>
    <row r="95" spans="3:65" s="48" customFormat="1" ht="21.75" customHeight="1">
      <c r="C95" s="79" t="s">
        <v>175</v>
      </c>
      <c r="D95" s="79" t="s">
        <v>883</v>
      </c>
      <c r="E95" s="80" t="s">
        <v>1501</v>
      </c>
      <c r="F95" s="81" t="s">
        <v>1502</v>
      </c>
      <c r="G95" s="82" t="s">
        <v>260</v>
      </c>
      <c r="H95" s="83">
        <v>10</v>
      </c>
      <c r="I95" s="527"/>
      <c r="J95" s="84">
        <f>ROUND(I95*H95,2)</f>
        <v>0</v>
      </c>
      <c r="K95" s="521"/>
      <c r="L95" s="533" t="s">
        <v>2130</v>
      </c>
      <c r="M95" s="530" t="s">
        <v>854</v>
      </c>
      <c r="N95" s="72" t="s">
        <v>860</v>
      </c>
      <c r="O95" s="73">
        <v>0.026</v>
      </c>
      <c r="P95" s="73">
        <f>O95*H95</f>
        <v>0.26</v>
      </c>
      <c r="Q95" s="73">
        <v>0</v>
      </c>
      <c r="R95" s="73">
        <f>Q95*H95</f>
        <v>0</v>
      </c>
      <c r="S95" s="73">
        <v>0</v>
      </c>
      <c r="T95" s="74">
        <f>S95*H95</f>
        <v>0</v>
      </c>
      <c r="AR95" s="75" t="s">
        <v>363</v>
      </c>
      <c r="AT95" s="75" t="s">
        <v>883</v>
      </c>
      <c r="AU95" s="75" t="s">
        <v>63</v>
      </c>
      <c r="AY95" s="47" t="s">
        <v>881</v>
      </c>
      <c r="BE95" s="76">
        <f>IF(N95="základní",J95,0)</f>
        <v>0</v>
      </c>
      <c r="BF95" s="76">
        <f>IF(N95="snížená",J95,0)</f>
        <v>0</v>
      </c>
      <c r="BG95" s="76">
        <f>IF(N95="zákl. přenesená",J95,0)</f>
        <v>0</v>
      </c>
      <c r="BH95" s="76">
        <f>IF(N95="sníž. přenesená",J95,0)</f>
        <v>0</v>
      </c>
      <c r="BI95" s="76">
        <f>IF(N95="nulová",J95,0)</f>
        <v>0</v>
      </c>
      <c r="BJ95" s="47" t="s">
        <v>51</v>
      </c>
      <c r="BK95" s="76">
        <f>ROUND(I95*H95,2)</f>
        <v>0</v>
      </c>
      <c r="BL95" s="47" t="s">
        <v>363</v>
      </c>
      <c r="BM95" s="75" t="s">
        <v>1753</v>
      </c>
    </row>
    <row r="96" spans="4:63" s="64" customFormat="1" ht="25.95" customHeight="1">
      <c r="D96" s="65" t="s">
        <v>877</v>
      </c>
      <c r="E96" s="203" t="s">
        <v>1504</v>
      </c>
      <c r="F96" s="203" t="s">
        <v>1505</v>
      </c>
      <c r="J96" s="204">
        <f>BK96</f>
        <v>0</v>
      </c>
      <c r="P96" s="67">
        <f>SUM(P97:P125)</f>
        <v>529.821092</v>
      </c>
      <c r="R96" s="67">
        <f>SUM(R97:R125)</f>
        <v>89.56158209999997</v>
      </c>
      <c r="T96" s="68">
        <f>SUM(T97:T125)</f>
        <v>0</v>
      </c>
      <c r="AR96" s="65" t="s">
        <v>67</v>
      </c>
      <c r="AT96" s="69" t="s">
        <v>877</v>
      </c>
      <c r="AU96" s="69" t="s">
        <v>880</v>
      </c>
      <c r="AY96" s="65" t="s">
        <v>881</v>
      </c>
      <c r="BK96" s="70">
        <f>SUM(BK97:BK125)</f>
        <v>0</v>
      </c>
    </row>
    <row r="97" spans="3:65" s="48" customFormat="1" ht="24.15" customHeight="1">
      <c r="C97" s="79" t="s">
        <v>341</v>
      </c>
      <c r="D97" s="79" t="s">
        <v>883</v>
      </c>
      <c r="E97" s="80" t="s">
        <v>1506</v>
      </c>
      <c r="F97" s="81" t="s">
        <v>1507</v>
      </c>
      <c r="G97" s="82" t="s">
        <v>1508</v>
      </c>
      <c r="H97" s="83">
        <v>0.407</v>
      </c>
      <c r="I97" s="527"/>
      <c r="J97" s="84">
        <f>ROUND(I97*H97,2)</f>
        <v>0</v>
      </c>
      <c r="K97" s="521"/>
      <c r="L97" s="533" t="s">
        <v>2474</v>
      </c>
      <c r="M97" s="530" t="s">
        <v>854</v>
      </c>
      <c r="N97" s="72" t="s">
        <v>860</v>
      </c>
      <c r="O97" s="73">
        <v>4.1</v>
      </c>
      <c r="P97" s="73">
        <f>O97*H97</f>
        <v>1.6686999999999999</v>
      </c>
      <c r="Q97" s="73">
        <v>0.0088</v>
      </c>
      <c r="R97" s="73">
        <f>Q97*H97</f>
        <v>0.0035816</v>
      </c>
      <c r="S97" s="73">
        <v>0</v>
      </c>
      <c r="T97" s="74">
        <f>S97*H97</f>
        <v>0</v>
      </c>
      <c r="AR97" s="75" t="s">
        <v>363</v>
      </c>
      <c r="AT97" s="75" t="s">
        <v>883</v>
      </c>
      <c r="AU97" s="75" t="s">
        <v>51</v>
      </c>
      <c r="AY97" s="47" t="s">
        <v>881</v>
      </c>
      <c r="BE97" s="76">
        <f>IF(N97="základní",J97,0)</f>
        <v>0</v>
      </c>
      <c r="BF97" s="76">
        <f>IF(N97="snížená",J97,0)</f>
        <v>0</v>
      </c>
      <c r="BG97" s="76">
        <f>IF(N97="zákl. přenesená",J97,0)</f>
        <v>0</v>
      </c>
      <c r="BH97" s="76">
        <f>IF(N97="sníž. přenesená",J97,0)</f>
        <v>0</v>
      </c>
      <c r="BI97" s="76">
        <f>IF(N97="nulová",J97,0)</f>
        <v>0</v>
      </c>
      <c r="BJ97" s="47" t="s">
        <v>51</v>
      </c>
      <c r="BK97" s="76">
        <f>ROUND(I97*H97,2)</f>
        <v>0</v>
      </c>
      <c r="BL97" s="47" t="s">
        <v>363</v>
      </c>
      <c r="BM97" s="75" t="s">
        <v>1754</v>
      </c>
    </row>
    <row r="98" spans="3:65" s="48" customFormat="1" ht="24.15" customHeight="1">
      <c r="C98" s="79" t="s">
        <v>185</v>
      </c>
      <c r="D98" s="79" t="s">
        <v>883</v>
      </c>
      <c r="E98" s="80" t="s">
        <v>1510</v>
      </c>
      <c r="F98" s="81" t="s">
        <v>1511</v>
      </c>
      <c r="G98" s="82" t="s">
        <v>1508</v>
      </c>
      <c r="H98" s="83">
        <v>0.407</v>
      </c>
      <c r="I98" s="527"/>
      <c r="J98" s="84">
        <f>ROUND(I98*H98,2)</f>
        <v>0</v>
      </c>
      <c r="K98" s="521"/>
      <c r="L98" s="533" t="s">
        <v>2474</v>
      </c>
      <c r="M98" s="530" t="s">
        <v>854</v>
      </c>
      <c r="N98" s="72" t="s">
        <v>860</v>
      </c>
      <c r="O98" s="73">
        <v>4.696</v>
      </c>
      <c r="P98" s="73">
        <f>O98*H98</f>
        <v>1.9112719999999999</v>
      </c>
      <c r="Q98" s="73">
        <v>0.0099</v>
      </c>
      <c r="R98" s="73">
        <f>Q98*H98</f>
        <v>0.0040293</v>
      </c>
      <c r="S98" s="73">
        <v>0</v>
      </c>
      <c r="T98" s="74">
        <f>S98*H98</f>
        <v>0</v>
      </c>
      <c r="AR98" s="75" t="s">
        <v>363</v>
      </c>
      <c r="AT98" s="75" t="s">
        <v>883</v>
      </c>
      <c r="AU98" s="75" t="s">
        <v>51</v>
      </c>
      <c r="AY98" s="47" t="s">
        <v>881</v>
      </c>
      <c r="BE98" s="76">
        <f>IF(N98="základní",J98,0)</f>
        <v>0</v>
      </c>
      <c r="BF98" s="76">
        <f>IF(N98="snížená",J98,0)</f>
        <v>0</v>
      </c>
      <c r="BG98" s="76">
        <f>IF(N98="zákl. přenesená",J98,0)</f>
        <v>0</v>
      </c>
      <c r="BH98" s="76">
        <f>IF(N98="sníž. přenesená",J98,0)</f>
        <v>0</v>
      </c>
      <c r="BI98" s="76">
        <f>IF(N98="nulová",J98,0)</f>
        <v>0</v>
      </c>
      <c r="BJ98" s="47" t="s">
        <v>51</v>
      </c>
      <c r="BK98" s="76">
        <f>ROUND(I98*H98,2)</f>
        <v>0</v>
      </c>
      <c r="BL98" s="47" t="s">
        <v>363</v>
      </c>
      <c r="BM98" s="75" t="s">
        <v>1755</v>
      </c>
    </row>
    <row r="99" spans="3:65" s="48" customFormat="1" ht="24.15" customHeight="1">
      <c r="C99" s="79" t="s">
        <v>348</v>
      </c>
      <c r="D99" s="79" t="s">
        <v>883</v>
      </c>
      <c r="E99" s="80" t="s">
        <v>1513</v>
      </c>
      <c r="F99" s="81" t="s">
        <v>1514</v>
      </c>
      <c r="G99" s="82" t="s">
        <v>260</v>
      </c>
      <c r="H99" s="83">
        <v>10</v>
      </c>
      <c r="I99" s="527"/>
      <c r="J99" s="84">
        <f>ROUND(I99*H99,2)</f>
        <v>0</v>
      </c>
      <c r="K99" s="521"/>
      <c r="L99" s="533" t="s">
        <v>2474</v>
      </c>
      <c r="M99" s="530" t="s">
        <v>854</v>
      </c>
      <c r="N99" s="72" t="s">
        <v>860</v>
      </c>
      <c r="O99" s="73">
        <v>3.214</v>
      </c>
      <c r="P99" s="73">
        <f>O99*H99</f>
        <v>32.14</v>
      </c>
      <c r="Q99" s="73">
        <v>0</v>
      </c>
      <c r="R99" s="73">
        <f>Q99*H99</f>
        <v>0</v>
      </c>
      <c r="S99" s="73">
        <v>0</v>
      </c>
      <c r="T99" s="74">
        <f>S99*H99</f>
        <v>0</v>
      </c>
      <c r="AR99" s="75" t="s">
        <v>363</v>
      </c>
      <c r="AT99" s="75" t="s">
        <v>883</v>
      </c>
      <c r="AU99" s="75" t="s">
        <v>51</v>
      </c>
      <c r="AY99" s="47" t="s">
        <v>881</v>
      </c>
      <c r="BE99" s="76">
        <f>IF(N99="základní",J99,0)</f>
        <v>0</v>
      </c>
      <c r="BF99" s="76">
        <f>IF(N99="snížená",J99,0)</f>
        <v>0</v>
      </c>
      <c r="BG99" s="76">
        <f>IF(N99="zákl. přenesená",J99,0)</f>
        <v>0</v>
      </c>
      <c r="BH99" s="76">
        <f>IF(N99="sníž. přenesená",J99,0)</f>
        <v>0</v>
      </c>
      <c r="BI99" s="76">
        <f>IF(N99="nulová",J99,0)</f>
        <v>0</v>
      </c>
      <c r="BJ99" s="47" t="s">
        <v>51</v>
      </c>
      <c r="BK99" s="76">
        <f>ROUND(I99*H99,2)</f>
        <v>0</v>
      </c>
      <c r="BL99" s="47" t="s">
        <v>363</v>
      </c>
      <c r="BM99" s="75" t="s">
        <v>1756</v>
      </c>
    </row>
    <row r="100" spans="3:65" s="48" customFormat="1" ht="24.15" customHeight="1">
      <c r="C100" s="79" t="s">
        <v>352</v>
      </c>
      <c r="D100" s="79" t="s">
        <v>883</v>
      </c>
      <c r="E100" s="80" t="s">
        <v>1517</v>
      </c>
      <c r="F100" s="81" t="s">
        <v>1518</v>
      </c>
      <c r="G100" s="82" t="s">
        <v>81</v>
      </c>
      <c r="H100" s="83">
        <v>7.68</v>
      </c>
      <c r="I100" s="527"/>
      <c r="J100" s="84">
        <f>ROUND(I100*H100,2)</f>
        <v>0</v>
      </c>
      <c r="K100" s="521"/>
      <c r="L100" s="533" t="s">
        <v>2474</v>
      </c>
      <c r="M100" s="530" t="s">
        <v>854</v>
      </c>
      <c r="N100" s="72" t="s">
        <v>860</v>
      </c>
      <c r="O100" s="73">
        <v>0.477</v>
      </c>
      <c r="P100" s="73">
        <f>O100*H100</f>
        <v>3.6633599999999995</v>
      </c>
      <c r="Q100" s="73">
        <v>2.25634</v>
      </c>
      <c r="R100" s="73">
        <f>Q100*H100</f>
        <v>17.328691199999998</v>
      </c>
      <c r="S100" s="73">
        <v>0</v>
      </c>
      <c r="T100" s="74">
        <f>S100*H100</f>
        <v>0</v>
      </c>
      <c r="AR100" s="75" t="s">
        <v>363</v>
      </c>
      <c r="AT100" s="75" t="s">
        <v>883</v>
      </c>
      <c r="AU100" s="75" t="s">
        <v>51</v>
      </c>
      <c r="AY100" s="47" t="s">
        <v>881</v>
      </c>
      <c r="BE100" s="76">
        <f>IF(N100="základní",J100,0)</f>
        <v>0</v>
      </c>
      <c r="BF100" s="76">
        <f>IF(N100="snížená",J100,0)</f>
        <v>0</v>
      </c>
      <c r="BG100" s="76">
        <f>IF(N100="zákl. přenesená",J100,0)</f>
        <v>0</v>
      </c>
      <c r="BH100" s="76">
        <f>IF(N100="sníž. přenesená",J100,0)</f>
        <v>0</v>
      </c>
      <c r="BI100" s="76">
        <f>IF(N100="nulová",J100,0)</f>
        <v>0</v>
      </c>
      <c r="BJ100" s="47" t="s">
        <v>51</v>
      </c>
      <c r="BK100" s="76">
        <f>ROUND(I100*H100,2)</f>
        <v>0</v>
      </c>
      <c r="BL100" s="47" t="s">
        <v>363</v>
      </c>
      <c r="BM100" s="75" t="s">
        <v>1757</v>
      </c>
    </row>
    <row r="101" spans="4:51" s="95" customFormat="1" ht="10.2">
      <c r="D101" s="207" t="s">
        <v>1418</v>
      </c>
      <c r="E101" s="96" t="s">
        <v>854</v>
      </c>
      <c r="F101" s="208" t="s">
        <v>1758</v>
      </c>
      <c r="H101" s="209">
        <v>7.68</v>
      </c>
      <c r="T101" s="97"/>
      <c r="AT101" s="96" t="s">
        <v>1418</v>
      </c>
      <c r="AU101" s="96" t="s">
        <v>51</v>
      </c>
      <c r="AV101" s="95" t="s">
        <v>63</v>
      </c>
      <c r="AW101" s="95" t="s">
        <v>1420</v>
      </c>
      <c r="AX101" s="95" t="s">
        <v>880</v>
      </c>
      <c r="AY101" s="96" t="s">
        <v>881</v>
      </c>
    </row>
    <row r="102" spans="3:65" s="48" customFormat="1" ht="24.15" customHeight="1">
      <c r="C102" s="79" t="s">
        <v>356</v>
      </c>
      <c r="D102" s="79" t="s">
        <v>883</v>
      </c>
      <c r="E102" s="80" t="s">
        <v>1525</v>
      </c>
      <c r="F102" s="81" t="s">
        <v>1526</v>
      </c>
      <c r="G102" s="82" t="s">
        <v>74</v>
      </c>
      <c r="H102" s="83">
        <v>57</v>
      </c>
      <c r="I102" s="527"/>
      <c r="J102" s="84">
        <f aca="true" t="shared" si="20" ref="J102:J117">ROUND(I102*H102,2)</f>
        <v>0</v>
      </c>
      <c r="K102" s="521"/>
      <c r="L102" s="533" t="s">
        <v>2474</v>
      </c>
      <c r="M102" s="530" t="s">
        <v>854</v>
      </c>
      <c r="N102" s="72" t="s">
        <v>860</v>
      </c>
      <c r="O102" s="73">
        <v>0.887</v>
      </c>
      <c r="P102" s="73">
        <f aca="true" t="shared" si="21" ref="P102:P117">O102*H102</f>
        <v>50.559</v>
      </c>
      <c r="Q102" s="73">
        <v>0</v>
      </c>
      <c r="R102" s="73">
        <f aca="true" t="shared" si="22" ref="R102:R117">Q102*H102</f>
        <v>0</v>
      </c>
      <c r="S102" s="73">
        <v>0</v>
      </c>
      <c r="T102" s="74">
        <f aca="true" t="shared" si="23" ref="T102:T117">S102*H102</f>
        <v>0</v>
      </c>
      <c r="AR102" s="75" t="s">
        <v>363</v>
      </c>
      <c r="AT102" s="75" t="s">
        <v>883</v>
      </c>
      <c r="AU102" s="75" t="s">
        <v>51</v>
      </c>
      <c r="AY102" s="47" t="s">
        <v>881</v>
      </c>
      <c r="BE102" s="76">
        <f aca="true" t="shared" si="24" ref="BE102:BE117">IF(N102="základní",J102,0)</f>
        <v>0</v>
      </c>
      <c r="BF102" s="76">
        <f aca="true" t="shared" si="25" ref="BF102:BF117">IF(N102="snížená",J102,0)</f>
        <v>0</v>
      </c>
      <c r="BG102" s="76">
        <f aca="true" t="shared" si="26" ref="BG102:BG117">IF(N102="zákl. přenesená",J102,0)</f>
        <v>0</v>
      </c>
      <c r="BH102" s="76">
        <f aca="true" t="shared" si="27" ref="BH102:BH117">IF(N102="sníž. přenesená",J102,0)</f>
        <v>0</v>
      </c>
      <c r="BI102" s="76">
        <f aca="true" t="shared" si="28" ref="BI102:BI117">IF(N102="nulová",J102,0)</f>
        <v>0</v>
      </c>
      <c r="BJ102" s="47" t="s">
        <v>51</v>
      </c>
      <c r="BK102" s="76">
        <f aca="true" t="shared" si="29" ref="BK102:BK117">ROUND(I102*H102,2)</f>
        <v>0</v>
      </c>
      <c r="BL102" s="47" t="s">
        <v>363</v>
      </c>
      <c r="BM102" s="75" t="s">
        <v>1759</v>
      </c>
    </row>
    <row r="103" spans="3:65" s="48" customFormat="1" ht="24.15" customHeight="1">
      <c r="C103" s="79" t="s">
        <v>359</v>
      </c>
      <c r="D103" s="79" t="s">
        <v>883</v>
      </c>
      <c r="E103" s="80" t="s">
        <v>1528</v>
      </c>
      <c r="F103" s="81" t="s">
        <v>1529</v>
      </c>
      <c r="G103" s="82" t="s">
        <v>74</v>
      </c>
      <c r="H103" s="83">
        <v>210</v>
      </c>
      <c r="I103" s="527"/>
      <c r="J103" s="84">
        <f t="shared" si="20"/>
        <v>0</v>
      </c>
      <c r="K103" s="521"/>
      <c r="L103" s="533" t="s">
        <v>2474</v>
      </c>
      <c r="M103" s="530" t="s">
        <v>854</v>
      </c>
      <c r="N103" s="72" t="s">
        <v>860</v>
      </c>
      <c r="O103" s="73">
        <v>0.408</v>
      </c>
      <c r="P103" s="73">
        <f t="shared" si="21"/>
        <v>85.67999999999999</v>
      </c>
      <c r="Q103" s="73">
        <v>0</v>
      </c>
      <c r="R103" s="73">
        <f t="shared" si="22"/>
        <v>0</v>
      </c>
      <c r="S103" s="73">
        <v>0</v>
      </c>
      <c r="T103" s="74">
        <f t="shared" si="23"/>
        <v>0</v>
      </c>
      <c r="AR103" s="75" t="s">
        <v>363</v>
      </c>
      <c r="AT103" s="75" t="s">
        <v>883</v>
      </c>
      <c r="AU103" s="75" t="s">
        <v>51</v>
      </c>
      <c r="AY103" s="47" t="s">
        <v>881</v>
      </c>
      <c r="BE103" s="76">
        <f t="shared" si="24"/>
        <v>0</v>
      </c>
      <c r="BF103" s="76">
        <f t="shared" si="25"/>
        <v>0</v>
      </c>
      <c r="BG103" s="76">
        <f t="shared" si="26"/>
        <v>0</v>
      </c>
      <c r="BH103" s="76">
        <f t="shared" si="27"/>
        <v>0</v>
      </c>
      <c r="BI103" s="76">
        <f t="shared" si="28"/>
        <v>0</v>
      </c>
      <c r="BJ103" s="47" t="s">
        <v>51</v>
      </c>
      <c r="BK103" s="76">
        <f t="shared" si="29"/>
        <v>0</v>
      </c>
      <c r="BL103" s="47" t="s">
        <v>363</v>
      </c>
      <c r="BM103" s="75" t="s">
        <v>1760</v>
      </c>
    </row>
    <row r="104" spans="3:65" s="48" customFormat="1" ht="24.15" customHeight="1">
      <c r="C104" s="79" t="s">
        <v>363</v>
      </c>
      <c r="D104" s="79" t="s">
        <v>883</v>
      </c>
      <c r="E104" s="80" t="s">
        <v>1531</v>
      </c>
      <c r="F104" s="81" t="s">
        <v>1532</v>
      </c>
      <c r="G104" s="82" t="s">
        <v>74</v>
      </c>
      <c r="H104" s="83">
        <v>140</v>
      </c>
      <c r="I104" s="527"/>
      <c r="J104" s="84">
        <f t="shared" si="20"/>
        <v>0</v>
      </c>
      <c r="K104" s="521"/>
      <c r="L104" s="533" t="s">
        <v>2474</v>
      </c>
      <c r="M104" s="530" t="s">
        <v>854</v>
      </c>
      <c r="N104" s="72" t="s">
        <v>860</v>
      </c>
      <c r="O104" s="73">
        <v>0.875</v>
      </c>
      <c r="P104" s="73">
        <f t="shared" si="21"/>
        <v>122.5</v>
      </c>
      <c r="Q104" s="73">
        <v>0</v>
      </c>
      <c r="R104" s="73">
        <f t="shared" si="22"/>
        <v>0</v>
      </c>
      <c r="S104" s="73">
        <v>0</v>
      </c>
      <c r="T104" s="74">
        <f t="shared" si="23"/>
        <v>0</v>
      </c>
      <c r="AR104" s="75" t="s">
        <v>363</v>
      </c>
      <c r="AT104" s="75" t="s">
        <v>883</v>
      </c>
      <c r="AU104" s="75" t="s">
        <v>51</v>
      </c>
      <c r="AY104" s="47" t="s">
        <v>881</v>
      </c>
      <c r="BE104" s="76">
        <f t="shared" si="24"/>
        <v>0</v>
      </c>
      <c r="BF104" s="76">
        <f t="shared" si="25"/>
        <v>0</v>
      </c>
      <c r="BG104" s="76">
        <f t="shared" si="26"/>
        <v>0</v>
      </c>
      <c r="BH104" s="76">
        <f t="shared" si="27"/>
        <v>0</v>
      </c>
      <c r="BI104" s="76">
        <f t="shared" si="28"/>
        <v>0</v>
      </c>
      <c r="BJ104" s="47" t="s">
        <v>51</v>
      </c>
      <c r="BK104" s="76">
        <f t="shared" si="29"/>
        <v>0</v>
      </c>
      <c r="BL104" s="47" t="s">
        <v>363</v>
      </c>
      <c r="BM104" s="75" t="s">
        <v>1761</v>
      </c>
    </row>
    <row r="105" spans="3:65" s="48" customFormat="1" ht="24.15" customHeight="1">
      <c r="C105" s="79" t="s">
        <v>369</v>
      </c>
      <c r="D105" s="79" t="s">
        <v>883</v>
      </c>
      <c r="E105" s="80" t="s">
        <v>1534</v>
      </c>
      <c r="F105" s="81" t="s">
        <v>1535</v>
      </c>
      <c r="G105" s="82" t="s">
        <v>81</v>
      </c>
      <c r="H105" s="83">
        <v>3</v>
      </c>
      <c r="I105" s="527"/>
      <c r="J105" s="84">
        <f t="shared" si="20"/>
        <v>0</v>
      </c>
      <c r="K105" s="521"/>
      <c r="L105" s="533" t="s">
        <v>2474</v>
      </c>
      <c r="M105" s="530" t="s">
        <v>854</v>
      </c>
      <c r="N105" s="72" t="s">
        <v>860</v>
      </c>
      <c r="O105" s="73">
        <v>1.2</v>
      </c>
      <c r="P105" s="73">
        <f t="shared" si="21"/>
        <v>3.5999999999999996</v>
      </c>
      <c r="Q105" s="73">
        <v>0</v>
      </c>
      <c r="R105" s="73">
        <f t="shared" si="22"/>
        <v>0</v>
      </c>
      <c r="S105" s="73">
        <v>0</v>
      </c>
      <c r="T105" s="74">
        <f t="shared" si="23"/>
        <v>0</v>
      </c>
      <c r="AR105" s="75" t="s">
        <v>363</v>
      </c>
      <c r="AT105" s="75" t="s">
        <v>883</v>
      </c>
      <c r="AU105" s="75" t="s">
        <v>51</v>
      </c>
      <c r="AY105" s="47" t="s">
        <v>881</v>
      </c>
      <c r="BE105" s="76">
        <f t="shared" si="24"/>
        <v>0</v>
      </c>
      <c r="BF105" s="76">
        <f t="shared" si="25"/>
        <v>0</v>
      </c>
      <c r="BG105" s="76">
        <f t="shared" si="26"/>
        <v>0</v>
      </c>
      <c r="BH105" s="76">
        <f t="shared" si="27"/>
        <v>0</v>
      </c>
      <c r="BI105" s="76">
        <f t="shared" si="28"/>
        <v>0</v>
      </c>
      <c r="BJ105" s="47" t="s">
        <v>51</v>
      </c>
      <c r="BK105" s="76">
        <f t="shared" si="29"/>
        <v>0</v>
      </c>
      <c r="BL105" s="47" t="s">
        <v>363</v>
      </c>
      <c r="BM105" s="75" t="s">
        <v>1762</v>
      </c>
    </row>
    <row r="106" spans="3:65" s="48" customFormat="1" ht="33" customHeight="1">
      <c r="C106" s="79" t="s">
        <v>377</v>
      </c>
      <c r="D106" s="79" t="s">
        <v>883</v>
      </c>
      <c r="E106" s="80" t="s">
        <v>1537</v>
      </c>
      <c r="F106" s="81" t="s">
        <v>1538</v>
      </c>
      <c r="G106" s="82" t="s">
        <v>74</v>
      </c>
      <c r="H106" s="83">
        <v>267</v>
      </c>
      <c r="I106" s="527"/>
      <c r="J106" s="84">
        <f t="shared" si="20"/>
        <v>0</v>
      </c>
      <c r="K106" s="521"/>
      <c r="L106" s="533" t="s">
        <v>2474</v>
      </c>
      <c r="M106" s="530" t="s">
        <v>854</v>
      </c>
      <c r="N106" s="72" t="s">
        <v>860</v>
      </c>
      <c r="O106" s="73">
        <v>0.073</v>
      </c>
      <c r="P106" s="73">
        <f t="shared" si="21"/>
        <v>19.491</v>
      </c>
      <c r="Q106" s="73">
        <v>0.05264</v>
      </c>
      <c r="R106" s="73">
        <f t="shared" si="22"/>
        <v>14.054879999999999</v>
      </c>
      <c r="S106" s="73">
        <v>0</v>
      </c>
      <c r="T106" s="74">
        <f t="shared" si="23"/>
        <v>0</v>
      </c>
      <c r="AR106" s="75" t="s">
        <v>363</v>
      </c>
      <c r="AT106" s="75" t="s">
        <v>883</v>
      </c>
      <c r="AU106" s="75" t="s">
        <v>51</v>
      </c>
      <c r="AY106" s="47" t="s">
        <v>881</v>
      </c>
      <c r="BE106" s="76">
        <f t="shared" si="24"/>
        <v>0</v>
      </c>
      <c r="BF106" s="76">
        <f t="shared" si="25"/>
        <v>0</v>
      </c>
      <c r="BG106" s="76">
        <f t="shared" si="26"/>
        <v>0</v>
      </c>
      <c r="BH106" s="76">
        <f t="shared" si="27"/>
        <v>0</v>
      </c>
      <c r="BI106" s="76">
        <f t="shared" si="28"/>
        <v>0</v>
      </c>
      <c r="BJ106" s="47" t="s">
        <v>51</v>
      </c>
      <c r="BK106" s="76">
        <f t="shared" si="29"/>
        <v>0</v>
      </c>
      <c r="BL106" s="47" t="s">
        <v>363</v>
      </c>
      <c r="BM106" s="75" t="s">
        <v>1763</v>
      </c>
    </row>
    <row r="107" spans="3:65" s="48" customFormat="1" ht="16.5" customHeight="1">
      <c r="C107" s="79" t="s">
        <v>382</v>
      </c>
      <c r="D107" s="79" t="s">
        <v>883</v>
      </c>
      <c r="E107" s="80" t="s">
        <v>1540</v>
      </c>
      <c r="F107" s="81" t="s">
        <v>1541</v>
      </c>
      <c r="G107" s="82" t="s">
        <v>74</v>
      </c>
      <c r="H107" s="83">
        <v>140</v>
      </c>
      <c r="I107" s="527"/>
      <c r="J107" s="84">
        <f t="shared" si="20"/>
        <v>0</v>
      </c>
      <c r="K107" s="521"/>
      <c r="L107" s="533" t="s">
        <v>2130</v>
      </c>
      <c r="M107" s="530" t="s">
        <v>854</v>
      </c>
      <c r="N107" s="72" t="s">
        <v>860</v>
      </c>
      <c r="O107" s="73">
        <v>0.073</v>
      </c>
      <c r="P107" s="73">
        <f t="shared" si="21"/>
        <v>10.219999999999999</v>
      </c>
      <c r="Q107" s="73">
        <v>0.05264</v>
      </c>
      <c r="R107" s="73">
        <f t="shared" si="22"/>
        <v>7.3696</v>
      </c>
      <c r="S107" s="73">
        <v>0</v>
      </c>
      <c r="T107" s="74">
        <f t="shared" si="23"/>
        <v>0</v>
      </c>
      <c r="AR107" s="75" t="s">
        <v>363</v>
      </c>
      <c r="AT107" s="75" t="s">
        <v>883</v>
      </c>
      <c r="AU107" s="75" t="s">
        <v>51</v>
      </c>
      <c r="AY107" s="47" t="s">
        <v>881</v>
      </c>
      <c r="BE107" s="76">
        <f t="shared" si="24"/>
        <v>0</v>
      </c>
      <c r="BF107" s="76">
        <f t="shared" si="25"/>
        <v>0</v>
      </c>
      <c r="BG107" s="76">
        <f t="shared" si="26"/>
        <v>0</v>
      </c>
      <c r="BH107" s="76">
        <f t="shared" si="27"/>
        <v>0</v>
      </c>
      <c r="BI107" s="76">
        <f t="shared" si="28"/>
        <v>0</v>
      </c>
      <c r="BJ107" s="47" t="s">
        <v>51</v>
      </c>
      <c r="BK107" s="76">
        <f t="shared" si="29"/>
        <v>0</v>
      </c>
      <c r="BL107" s="47" t="s">
        <v>363</v>
      </c>
      <c r="BM107" s="75" t="s">
        <v>1764</v>
      </c>
    </row>
    <row r="108" spans="3:65" s="48" customFormat="1" ht="24.15" customHeight="1">
      <c r="C108" s="79" t="s">
        <v>385</v>
      </c>
      <c r="D108" s="79" t="s">
        <v>883</v>
      </c>
      <c r="E108" s="80" t="s">
        <v>1543</v>
      </c>
      <c r="F108" s="81" t="s">
        <v>1544</v>
      </c>
      <c r="G108" s="82" t="s">
        <v>74</v>
      </c>
      <c r="H108" s="83">
        <v>140</v>
      </c>
      <c r="I108" s="527"/>
      <c r="J108" s="84">
        <f t="shared" si="20"/>
        <v>0</v>
      </c>
      <c r="K108" s="521"/>
      <c r="L108" s="533" t="s">
        <v>2474</v>
      </c>
      <c r="M108" s="530" t="s">
        <v>854</v>
      </c>
      <c r="N108" s="72" t="s">
        <v>860</v>
      </c>
      <c r="O108" s="73">
        <v>0.111</v>
      </c>
      <c r="P108" s="73">
        <f t="shared" si="21"/>
        <v>15.540000000000001</v>
      </c>
      <c r="Q108" s="73">
        <v>0.203</v>
      </c>
      <c r="R108" s="73">
        <f t="shared" si="22"/>
        <v>28.42</v>
      </c>
      <c r="S108" s="73">
        <v>0</v>
      </c>
      <c r="T108" s="74">
        <f t="shared" si="23"/>
        <v>0</v>
      </c>
      <c r="AR108" s="75" t="s">
        <v>363</v>
      </c>
      <c r="AT108" s="75" t="s">
        <v>883</v>
      </c>
      <c r="AU108" s="75" t="s">
        <v>51</v>
      </c>
      <c r="AY108" s="47" t="s">
        <v>881</v>
      </c>
      <c r="BE108" s="76">
        <f t="shared" si="24"/>
        <v>0</v>
      </c>
      <c r="BF108" s="76">
        <f t="shared" si="25"/>
        <v>0</v>
      </c>
      <c r="BG108" s="76">
        <f t="shared" si="26"/>
        <v>0</v>
      </c>
      <c r="BH108" s="76">
        <f t="shared" si="27"/>
        <v>0</v>
      </c>
      <c r="BI108" s="76">
        <f t="shared" si="28"/>
        <v>0</v>
      </c>
      <c r="BJ108" s="47" t="s">
        <v>51</v>
      </c>
      <c r="BK108" s="76">
        <f t="shared" si="29"/>
        <v>0</v>
      </c>
      <c r="BL108" s="47" t="s">
        <v>363</v>
      </c>
      <c r="BM108" s="75" t="s">
        <v>1765</v>
      </c>
    </row>
    <row r="109" spans="3:65" s="48" customFormat="1" ht="24.15" customHeight="1">
      <c r="C109" s="79" t="s">
        <v>388</v>
      </c>
      <c r="D109" s="79" t="s">
        <v>883</v>
      </c>
      <c r="E109" s="80" t="s">
        <v>1546</v>
      </c>
      <c r="F109" s="81" t="s">
        <v>1547</v>
      </c>
      <c r="G109" s="82" t="s">
        <v>260</v>
      </c>
      <c r="H109" s="83">
        <v>4</v>
      </c>
      <c r="I109" s="527"/>
      <c r="J109" s="84">
        <f t="shared" si="20"/>
        <v>0</v>
      </c>
      <c r="K109" s="521"/>
      <c r="L109" s="533" t="s">
        <v>2474</v>
      </c>
      <c r="M109" s="530" t="s">
        <v>854</v>
      </c>
      <c r="N109" s="72" t="s">
        <v>860</v>
      </c>
      <c r="O109" s="73">
        <v>0.019</v>
      </c>
      <c r="P109" s="73">
        <f t="shared" si="21"/>
        <v>0.076</v>
      </c>
      <c r="Q109" s="73">
        <v>0.0038</v>
      </c>
      <c r="R109" s="73">
        <f t="shared" si="22"/>
        <v>0.0152</v>
      </c>
      <c r="S109" s="73">
        <v>0</v>
      </c>
      <c r="T109" s="74">
        <f t="shared" si="23"/>
        <v>0</v>
      </c>
      <c r="AR109" s="75" t="s">
        <v>363</v>
      </c>
      <c r="AT109" s="75" t="s">
        <v>883</v>
      </c>
      <c r="AU109" s="75" t="s">
        <v>51</v>
      </c>
      <c r="AY109" s="47" t="s">
        <v>881</v>
      </c>
      <c r="BE109" s="76">
        <f t="shared" si="24"/>
        <v>0</v>
      </c>
      <c r="BF109" s="76">
        <f t="shared" si="25"/>
        <v>0</v>
      </c>
      <c r="BG109" s="76">
        <f t="shared" si="26"/>
        <v>0</v>
      </c>
      <c r="BH109" s="76">
        <f t="shared" si="27"/>
        <v>0</v>
      </c>
      <c r="BI109" s="76">
        <f t="shared" si="28"/>
        <v>0</v>
      </c>
      <c r="BJ109" s="47" t="s">
        <v>51</v>
      </c>
      <c r="BK109" s="76">
        <f t="shared" si="29"/>
        <v>0</v>
      </c>
      <c r="BL109" s="47" t="s">
        <v>363</v>
      </c>
      <c r="BM109" s="75" t="s">
        <v>1766</v>
      </c>
    </row>
    <row r="110" spans="3:65" s="48" customFormat="1" ht="21.75" customHeight="1">
      <c r="C110" s="79" t="s">
        <v>391</v>
      </c>
      <c r="D110" s="79" t="s">
        <v>883</v>
      </c>
      <c r="E110" s="80" t="s">
        <v>1549</v>
      </c>
      <c r="F110" s="81" t="s">
        <v>1550</v>
      </c>
      <c r="G110" s="82" t="s">
        <v>260</v>
      </c>
      <c r="H110" s="83">
        <v>6</v>
      </c>
      <c r="I110" s="527"/>
      <c r="J110" s="84">
        <f t="shared" si="20"/>
        <v>0</v>
      </c>
      <c r="K110" s="521"/>
      <c r="L110" s="533" t="s">
        <v>2474</v>
      </c>
      <c r="M110" s="530" t="s">
        <v>854</v>
      </c>
      <c r="N110" s="72" t="s">
        <v>860</v>
      </c>
      <c r="O110" s="73">
        <v>0.019</v>
      </c>
      <c r="P110" s="73">
        <f t="shared" si="21"/>
        <v>0.11399999999999999</v>
      </c>
      <c r="Q110" s="73">
        <v>0.0076</v>
      </c>
      <c r="R110" s="73">
        <f t="shared" si="22"/>
        <v>0.0456</v>
      </c>
      <c r="S110" s="73">
        <v>0</v>
      </c>
      <c r="T110" s="74">
        <f t="shared" si="23"/>
        <v>0</v>
      </c>
      <c r="AR110" s="75" t="s">
        <v>363</v>
      </c>
      <c r="AT110" s="75" t="s">
        <v>883</v>
      </c>
      <c r="AU110" s="75" t="s">
        <v>51</v>
      </c>
      <c r="AY110" s="47" t="s">
        <v>881</v>
      </c>
      <c r="BE110" s="76">
        <f t="shared" si="24"/>
        <v>0</v>
      </c>
      <c r="BF110" s="76">
        <f t="shared" si="25"/>
        <v>0</v>
      </c>
      <c r="BG110" s="76">
        <f t="shared" si="26"/>
        <v>0</v>
      </c>
      <c r="BH110" s="76">
        <f t="shared" si="27"/>
        <v>0</v>
      </c>
      <c r="BI110" s="76">
        <f t="shared" si="28"/>
        <v>0</v>
      </c>
      <c r="BJ110" s="47" t="s">
        <v>51</v>
      </c>
      <c r="BK110" s="76">
        <f t="shared" si="29"/>
        <v>0</v>
      </c>
      <c r="BL110" s="47" t="s">
        <v>363</v>
      </c>
      <c r="BM110" s="75" t="s">
        <v>1767</v>
      </c>
    </row>
    <row r="111" spans="3:65" s="48" customFormat="1" ht="24.15" customHeight="1">
      <c r="C111" s="79" t="s">
        <v>394</v>
      </c>
      <c r="D111" s="79" t="s">
        <v>883</v>
      </c>
      <c r="E111" s="80" t="s">
        <v>1552</v>
      </c>
      <c r="F111" s="81" t="s">
        <v>1553</v>
      </c>
      <c r="G111" s="82" t="s">
        <v>74</v>
      </c>
      <c r="H111" s="83">
        <v>10</v>
      </c>
      <c r="I111" s="527"/>
      <c r="J111" s="84">
        <f t="shared" si="20"/>
        <v>0</v>
      </c>
      <c r="K111" s="521"/>
      <c r="L111" s="533" t="s">
        <v>2474</v>
      </c>
      <c r="M111" s="530" t="s">
        <v>854</v>
      </c>
      <c r="N111" s="72" t="s">
        <v>860</v>
      </c>
      <c r="O111" s="73">
        <v>0.302</v>
      </c>
      <c r="P111" s="73">
        <f t="shared" si="21"/>
        <v>3.02</v>
      </c>
      <c r="Q111" s="73">
        <v>0.18</v>
      </c>
      <c r="R111" s="73">
        <f t="shared" si="22"/>
        <v>1.7999999999999998</v>
      </c>
      <c r="S111" s="73">
        <v>0</v>
      </c>
      <c r="T111" s="74">
        <f t="shared" si="23"/>
        <v>0</v>
      </c>
      <c r="AR111" s="75" t="s">
        <v>363</v>
      </c>
      <c r="AT111" s="75" t="s">
        <v>883</v>
      </c>
      <c r="AU111" s="75" t="s">
        <v>51</v>
      </c>
      <c r="AY111" s="47" t="s">
        <v>881</v>
      </c>
      <c r="BE111" s="76">
        <f t="shared" si="24"/>
        <v>0</v>
      </c>
      <c r="BF111" s="76">
        <f t="shared" si="25"/>
        <v>0</v>
      </c>
      <c r="BG111" s="76">
        <f t="shared" si="26"/>
        <v>0</v>
      </c>
      <c r="BH111" s="76">
        <f t="shared" si="27"/>
        <v>0</v>
      </c>
      <c r="BI111" s="76">
        <f t="shared" si="28"/>
        <v>0</v>
      </c>
      <c r="BJ111" s="47" t="s">
        <v>51</v>
      </c>
      <c r="BK111" s="76">
        <f t="shared" si="29"/>
        <v>0</v>
      </c>
      <c r="BL111" s="47" t="s">
        <v>363</v>
      </c>
      <c r="BM111" s="75" t="s">
        <v>1768</v>
      </c>
    </row>
    <row r="112" spans="3:65" s="48" customFormat="1" ht="24.15" customHeight="1">
      <c r="C112" s="79" t="s">
        <v>542</v>
      </c>
      <c r="D112" s="79" t="s">
        <v>883</v>
      </c>
      <c r="E112" s="80" t="s">
        <v>1555</v>
      </c>
      <c r="F112" s="81" t="s">
        <v>1556</v>
      </c>
      <c r="G112" s="82" t="s">
        <v>74</v>
      </c>
      <c r="H112" s="83">
        <v>190</v>
      </c>
      <c r="I112" s="527"/>
      <c r="J112" s="84">
        <f t="shared" si="20"/>
        <v>0</v>
      </c>
      <c r="K112" s="521"/>
      <c r="L112" s="533" t="s">
        <v>2474</v>
      </c>
      <c r="M112" s="530" t="s">
        <v>854</v>
      </c>
      <c r="N112" s="72" t="s">
        <v>860</v>
      </c>
      <c r="O112" s="73">
        <v>0.17</v>
      </c>
      <c r="P112" s="73">
        <f t="shared" si="21"/>
        <v>32.300000000000004</v>
      </c>
      <c r="Q112" s="73">
        <v>0.108</v>
      </c>
      <c r="R112" s="73">
        <f t="shared" si="22"/>
        <v>20.52</v>
      </c>
      <c r="S112" s="73">
        <v>0</v>
      </c>
      <c r="T112" s="74">
        <f t="shared" si="23"/>
        <v>0</v>
      </c>
      <c r="AR112" s="75" t="s">
        <v>363</v>
      </c>
      <c r="AT112" s="75" t="s">
        <v>883</v>
      </c>
      <c r="AU112" s="75" t="s">
        <v>51</v>
      </c>
      <c r="AY112" s="47" t="s">
        <v>881</v>
      </c>
      <c r="BE112" s="76">
        <f t="shared" si="24"/>
        <v>0</v>
      </c>
      <c r="BF112" s="76">
        <f t="shared" si="25"/>
        <v>0</v>
      </c>
      <c r="BG112" s="76">
        <f t="shared" si="26"/>
        <v>0</v>
      </c>
      <c r="BH112" s="76">
        <f t="shared" si="27"/>
        <v>0</v>
      </c>
      <c r="BI112" s="76">
        <f t="shared" si="28"/>
        <v>0</v>
      </c>
      <c r="BJ112" s="47" t="s">
        <v>51</v>
      </c>
      <c r="BK112" s="76">
        <f t="shared" si="29"/>
        <v>0</v>
      </c>
      <c r="BL112" s="47" t="s">
        <v>363</v>
      </c>
      <c r="BM112" s="75" t="s">
        <v>1769</v>
      </c>
    </row>
    <row r="113" spans="3:65" s="48" customFormat="1" ht="24.15" customHeight="1">
      <c r="C113" s="79" t="s">
        <v>546</v>
      </c>
      <c r="D113" s="79" t="s">
        <v>883</v>
      </c>
      <c r="E113" s="80" t="s">
        <v>1558</v>
      </c>
      <c r="F113" s="81" t="s">
        <v>1559</v>
      </c>
      <c r="G113" s="82" t="s">
        <v>74</v>
      </c>
      <c r="H113" s="83">
        <v>57</v>
      </c>
      <c r="I113" s="527"/>
      <c r="J113" s="84">
        <f t="shared" si="20"/>
        <v>0</v>
      </c>
      <c r="K113" s="521"/>
      <c r="L113" s="533" t="s">
        <v>2474</v>
      </c>
      <c r="M113" s="530" t="s">
        <v>854</v>
      </c>
      <c r="N113" s="72" t="s">
        <v>860</v>
      </c>
      <c r="O113" s="73">
        <v>0.118</v>
      </c>
      <c r="P113" s="73">
        <f t="shared" si="21"/>
        <v>6.726</v>
      </c>
      <c r="Q113" s="73">
        <v>0</v>
      </c>
      <c r="R113" s="73">
        <f t="shared" si="22"/>
        <v>0</v>
      </c>
      <c r="S113" s="73">
        <v>0</v>
      </c>
      <c r="T113" s="74">
        <f t="shared" si="23"/>
        <v>0</v>
      </c>
      <c r="AR113" s="75" t="s">
        <v>363</v>
      </c>
      <c r="AT113" s="75" t="s">
        <v>883</v>
      </c>
      <c r="AU113" s="75" t="s">
        <v>51</v>
      </c>
      <c r="AY113" s="47" t="s">
        <v>881</v>
      </c>
      <c r="BE113" s="76">
        <f t="shared" si="24"/>
        <v>0</v>
      </c>
      <c r="BF113" s="76">
        <f t="shared" si="25"/>
        <v>0</v>
      </c>
      <c r="BG113" s="76">
        <f t="shared" si="26"/>
        <v>0</v>
      </c>
      <c r="BH113" s="76">
        <f t="shared" si="27"/>
        <v>0</v>
      </c>
      <c r="BI113" s="76">
        <f t="shared" si="28"/>
        <v>0</v>
      </c>
      <c r="BJ113" s="47" t="s">
        <v>51</v>
      </c>
      <c r="BK113" s="76">
        <f t="shared" si="29"/>
        <v>0</v>
      </c>
      <c r="BL113" s="47" t="s">
        <v>363</v>
      </c>
      <c r="BM113" s="75" t="s">
        <v>1770</v>
      </c>
    </row>
    <row r="114" spans="3:65" s="48" customFormat="1" ht="24.15" customHeight="1">
      <c r="C114" s="79" t="s">
        <v>547</v>
      </c>
      <c r="D114" s="79" t="s">
        <v>883</v>
      </c>
      <c r="E114" s="80" t="s">
        <v>1561</v>
      </c>
      <c r="F114" s="81" t="s">
        <v>1562</v>
      </c>
      <c r="G114" s="82" t="s">
        <v>74</v>
      </c>
      <c r="H114" s="83">
        <v>210</v>
      </c>
      <c r="I114" s="527"/>
      <c r="J114" s="84">
        <f t="shared" si="20"/>
        <v>0</v>
      </c>
      <c r="K114" s="521"/>
      <c r="L114" s="533" t="s">
        <v>2474</v>
      </c>
      <c r="M114" s="530" t="s">
        <v>854</v>
      </c>
      <c r="N114" s="72" t="s">
        <v>860</v>
      </c>
      <c r="O114" s="73">
        <v>0.177</v>
      </c>
      <c r="P114" s="73">
        <f t="shared" si="21"/>
        <v>37.169999999999995</v>
      </c>
      <c r="Q114" s="73">
        <v>0</v>
      </c>
      <c r="R114" s="73">
        <f t="shared" si="22"/>
        <v>0</v>
      </c>
      <c r="S114" s="73">
        <v>0</v>
      </c>
      <c r="T114" s="74">
        <f t="shared" si="23"/>
        <v>0</v>
      </c>
      <c r="AR114" s="75" t="s">
        <v>363</v>
      </c>
      <c r="AT114" s="75" t="s">
        <v>883</v>
      </c>
      <c r="AU114" s="75" t="s">
        <v>51</v>
      </c>
      <c r="AY114" s="47" t="s">
        <v>881</v>
      </c>
      <c r="BE114" s="76">
        <f t="shared" si="24"/>
        <v>0</v>
      </c>
      <c r="BF114" s="76">
        <f t="shared" si="25"/>
        <v>0</v>
      </c>
      <c r="BG114" s="76">
        <f t="shared" si="26"/>
        <v>0</v>
      </c>
      <c r="BH114" s="76">
        <f t="shared" si="27"/>
        <v>0</v>
      </c>
      <c r="BI114" s="76">
        <f t="shared" si="28"/>
        <v>0</v>
      </c>
      <c r="BJ114" s="47" t="s">
        <v>51</v>
      </c>
      <c r="BK114" s="76">
        <f t="shared" si="29"/>
        <v>0</v>
      </c>
      <c r="BL114" s="47" t="s">
        <v>363</v>
      </c>
      <c r="BM114" s="75" t="s">
        <v>1771</v>
      </c>
    </row>
    <row r="115" spans="3:65" s="48" customFormat="1" ht="24.15" customHeight="1">
      <c r="C115" s="79" t="s">
        <v>548</v>
      </c>
      <c r="D115" s="79" t="s">
        <v>883</v>
      </c>
      <c r="E115" s="80" t="s">
        <v>1564</v>
      </c>
      <c r="F115" s="81" t="s">
        <v>1565</v>
      </c>
      <c r="G115" s="82" t="s">
        <v>74</v>
      </c>
      <c r="H115" s="83">
        <v>140</v>
      </c>
      <c r="I115" s="527"/>
      <c r="J115" s="84">
        <f t="shared" si="20"/>
        <v>0</v>
      </c>
      <c r="K115" s="521"/>
      <c r="L115" s="533" t="s">
        <v>2474</v>
      </c>
      <c r="M115" s="530" t="s">
        <v>854</v>
      </c>
      <c r="N115" s="72" t="s">
        <v>860</v>
      </c>
      <c r="O115" s="73">
        <v>0.379</v>
      </c>
      <c r="P115" s="73">
        <f t="shared" si="21"/>
        <v>53.06</v>
      </c>
      <c r="Q115" s="73">
        <v>0</v>
      </c>
      <c r="R115" s="73">
        <f t="shared" si="22"/>
        <v>0</v>
      </c>
      <c r="S115" s="73">
        <v>0</v>
      </c>
      <c r="T115" s="74">
        <f t="shared" si="23"/>
        <v>0</v>
      </c>
      <c r="AR115" s="75" t="s">
        <v>363</v>
      </c>
      <c r="AT115" s="75" t="s">
        <v>883</v>
      </c>
      <c r="AU115" s="75" t="s">
        <v>51</v>
      </c>
      <c r="AY115" s="47" t="s">
        <v>881</v>
      </c>
      <c r="BE115" s="76">
        <f t="shared" si="24"/>
        <v>0</v>
      </c>
      <c r="BF115" s="76">
        <f t="shared" si="25"/>
        <v>0</v>
      </c>
      <c r="BG115" s="76">
        <f t="shared" si="26"/>
        <v>0</v>
      </c>
      <c r="BH115" s="76">
        <f t="shared" si="27"/>
        <v>0</v>
      </c>
      <c r="BI115" s="76">
        <f t="shared" si="28"/>
        <v>0</v>
      </c>
      <c r="BJ115" s="47" t="s">
        <v>51</v>
      </c>
      <c r="BK115" s="76">
        <f t="shared" si="29"/>
        <v>0</v>
      </c>
      <c r="BL115" s="47" t="s">
        <v>363</v>
      </c>
      <c r="BM115" s="75" t="s">
        <v>1772</v>
      </c>
    </row>
    <row r="116" spans="3:65" s="48" customFormat="1" ht="24.15" customHeight="1">
      <c r="C116" s="79" t="s">
        <v>549</v>
      </c>
      <c r="D116" s="79" t="s">
        <v>883</v>
      </c>
      <c r="E116" s="80" t="s">
        <v>1567</v>
      </c>
      <c r="F116" s="81" t="s">
        <v>1568</v>
      </c>
      <c r="G116" s="82" t="s">
        <v>81</v>
      </c>
      <c r="H116" s="83">
        <v>3</v>
      </c>
      <c r="I116" s="527"/>
      <c r="J116" s="84">
        <f t="shared" si="20"/>
        <v>0</v>
      </c>
      <c r="K116" s="521"/>
      <c r="L116" s="533" t="s">
        <v>2474</v>
      </c>
      <c r="M116" s="530" t="s">
        <v>854</v>
      </c>
      <c r="N116" s="72" t="s">
        <v>860</v>
      </c>
      <c r="O116" s="73">
        <v>0.115</v>
      </c>
      <c r="P116" s="73">
        <f t="shared" si="21"/>
        <v>0.34500000000000003</v>
      </c>
      <c r="Q116" s="73">
        <v>0</v>
      </c>
      <c r="R116" s="73">
        <f t="shared" si="22"/>
        <v>0</v>
      </c>
      <c r="S116" s="73">
        <v>0</v>
      </c>
      <c r="T116" s="74">
        <f t="shared" si="23"/>
        <v>0</v>
      </c>
      <c r="AR116" s="75" t="s">
        <v>363</v>
      </c>
      <c r="AT116" s="75" t="s">
        <v>883</v>
      </c>
      <c r="AU116" s="75" t="s">
        <v>51</v>
      </c>
      <c r="AY116" s="47" t="s">
        <v>881</v>
      </c>
      <c r="BE116" s="76">
        <f t="shared" si="24"/>
        <v>0</v>
      </c>
      <c r="BF116" s="76">
        <f t="shared" si="25"/>
        <v>0</v>
      </c>
      <c r="BG116" s="76">
        <f t="shared" si="26"/>
        <v>0</v>
      </c>
      <c r="BH116" s="76">
        <f t="shared" si="27"/>
        <v>0</v>
      </c>
      <c r="BI116" s="76">
        <f t="shared" si="28"/>
        <v>0</v>
      </c>
      <c r="BJ116" s="47" t="s">
        <v>51</v>
      </c>
      <c r="BK116" s="76">
        <f t="shared" si="29"/>
        <v>0</v>
      </c>
      <c r="BL116" s="47" t="s">
        <v>363</v>
      </c>
      <c r="BM116" s="75" t="s">
        <v>1773</v>
      </c>
    </row>
    <row r="117" spans="3:65" s="48" customFormat="1" ht="21.75" customHeight="1">
      <c r="C117" s="79" t="s">
        <v>552</v>
      </c>
      <c r="D117" s="79" t="s">
        <v>883</v>
      </c>
      <c r="E117" s="80" t="s">
        <v>1570</v>
      </c>
      <c r="F117" s="81" t="s">
        <v>1571</v>
      </c>
      <c r="G117" s="82" t="s">
        <v>81</v>
      </c>
      <c r="H117" s="83">
        <v>34.14</v>
      </c>
      <c r="I117" s="527"/>
      <c r="J117" s="84">
        <f t="shared" si="20"/>
        <v>0</v>
      </c>
      <c r="K117" s="521"/>
      <c r="L117" s="533" t="s">
        <v>2474</v>
      </c>
      <c r="M117" s="530" t="s">
        <v>854</v>
      </c>
      <c r="N117" s="72" t="s">
        <v>860</v>
      </c>
      <c r="O117" s="73">
        <v>0.074</v>
      </c>
      <c r="P117" s="73">
        <f t="shared" si="21"/>
        <v>2.52636</v>
      </c>
      <c r="Q117" s="73">
        <v>0</v>
      </c>
      <c r="R117" s="73">
        <f t="shared" si="22"/>
        <v>0</v>
      </c>
      <c r="S117" s="73">
        <v>0</v>
      </c>
      <c r="T117" s="74">
        <f t="shared" si="23"/>
        <v>0</v>
      </c>
      <c r="AR117" s="75" t="s">
        <v>363</v>
      </c>
      <c r="AT117" s="75" t="s">
        <v>883</v>
      </c>
      <c r="AU117" s="75" t="s">
        <v>51</v>
      </c>
      <c r="AY117" s="47" t="s">
        <v>881</v>
      </c>
      <c r="BE117" s="76">
        <f t="shared" si="24"/>
        <v>0</v>
      </c>
      <c r="BF117" s="76">
        <f t="shared" si="25"/>
        <v>0</v>
      </c>
      <c r="BG117" s="76">
        <f t="shared" si="26"/>
        <v>0</v>
      </c>
      <c r="BH117" s="76">
        <f t="shared" si="27"/>
        <v>0</v>
      </c>
      <c r="BI117" s="76">
        <f t="shared" si="28"/>
        <v>0</v>
      </c>
      <c r="BJ117" s="47" t="s">
        <v>51</v>
      </c>
      <c r="BK117" s="76">
        <f t="shared" si="29"/>
        <v>0</v>
      </c>
      <c r="BL117" s="47" t="s">
        <v>363</v>
      </c>
      <c r="BM117" s="75" t="s">
        <v>1774</v>
      </c>
    </row>
    <row r="118" spans="4:51" s="95" customFormat="1" ht="10.2">
      <c r="D118" s="207" t="s">
        <v>1418</v>
      </c>
      <c r="E118" s="96" t="s">
        <v>854</v>
      </c>
      <c r="F118" s="208" t="s">
        <v>1775</v>
      </c>
      <c r="H118" s="209">
        <v>26.46</v>
      </c>
      <c r="T118" s="97"/>
      <c r="AT118" s="96" t="s">
        <v>1418</v>
      </c>
      <c r="AU118" s="96" t="s">
        <v>51</v>
      </c>
      <c r="AV118" s="95" t="s">
        <v>63</v>
      </c>
      <c r="AW118" s="95" t="s">
        <v>1420</v>
      </c>
      <c r="AX118" s="95" t="s">
        <v>880</v>
      </c>
      <c r="AY118" s="96" t="s">
        <v>881</v>
      </c>
    </row>
    <row r="119" spans="4:51" s="95" customFormat="1" ht="10.2">
      <c r="D119" s="207" t="s">
        <v>1418</v>
      </c>
      <c r="E119" s="96" t="s">
        <v>854</v>
      </c>
      <c r="F119" s="208" t="s">
        <v>1776</v>
      </c>
      <c r="H119" s="209">
        <v>7.68</v>
      </c>
      <c r="T119" s="97"/>
      <c r="AT119" s="96" t="s">
        <v>1418</v>
      </c>
      <c r="AU119" s="96" t="s">
        <v>51</v>
      </c>
      <c r="AV119" s="95" t="s">
        <v>63</v>
      </c>
      <c r="AW119" s="95" t="s">
        <v>1420</v>
      </c>
      <c r="AX119" s="95" t="s">
        <v>880</v>
      </c>
      <c r="AY119" s="96" t="s">
        <v>881</v>
      </c>
    </row>
    <row r="120" spans="3:65" s="48" customFormat="1" ht="24.15" customHeight="1">
      <c r="C120" s="79" t="s">
        <v>556</v>
      </c>
      <c r="D120" s="79" t="s">
        <v>883</v>
      </c>
      <c r="E120" s="80" t="s">
        <v>1575</v>
      </c>
      <c r="F120" s="81" t="s">
        <v>1576</v>
      </c>
      <c r="G120" s="82" t="s">
        <v>81</v>
      </c>
      <c r="H120" s="83">
        <v>512.1</v>
      </c>
      <c r="I120" s="527"/>
      <c r="J120" s="84">
        <f>ROUND(I120*H120,2)</f>
        <v>0</v>
      </c>
      <c r="K120" s="521"/>
      <c r="L120" s="533" t="s">
        <v>2474</v>
      </c>
      <c r="M120" s="530" t="s">
        <v>854</v>
      </c>
      <c r="N120" s="72" t="s">
        <v>860</v>
      </c>
      <c r="O120" s="73">
        <v>0</v>
      </c>
      <c r="P120" s="73">
        <f>O120*H120</f>
        <v>0</v>
      </c>
      <c r="Q120" s="73">
        <v>0</v>
      </c>
      <c r="R120" s="73">
        <f>Q120*H120</f>
        <v>0</v>
      </c>
      <c r="S120" s="73">
        <v>0</v>
      </c>
      <c r="T120" s="74">
        <f>S120*H120</f>
        <v>0</v>
      </c>
      <c r="AR120" s="75" t="s">
        <v>363</v>
      </c>
      <c r="AT120" s="75" t="s">
        <v>883</v>
      </c>
      <c r="AU120" s="75" t="s">
        <v>51</v>
      </c>
      <c r="AY120" s="47" t="s">
        <v>881</v>
      </c>
      <c r="BE120" s="76">
        <f>IF(N120="základní",J120,0)</f>
        <v>0</v>
      </c>
      <c r="BF120" s="76">
        <f>IF(N120="snížená",J120,0)</f>
        <v>0</v>
      </c>
      <c r="BG120" s="76">
        <f>IF(N120="zákl. přenesená",J120,0)</f>
        <v>0</v>
      </c>
      <c r="BH120" s="76">
        <f>IF(N120="sníž. přenesená",J120,0)</f>
        <v>0</v>
      </c>
      <c r="BI120" s="76">
        <f>IF(N120="nulová",J120,0)</f>
        <v>0</v>
      </c>
      <c r="BJ120" s="47" t="s">
        <v>51</v>
      </c>
      <c r="BK120" s="76">
        <f>ROUND(I120*H120,2)</f>
        <v>0</v>
      </c>
      <c r="BL120" s="47" t="s">
        <v>363</v>
      </c>
      <c r="BM120" s="75" t="s">
        <v>1777</v>
      </c>
    </row>
    <row r="121" spans="4:51" s="95" customFormat="1" ht="10.2">
      <c r="D121" s="207" t="s">
        <v>1418</v>
      </c>
      <c r="E121" s="96" t="s">
        <v>854</v>
      </c>
      <c r="F121" s="208" t="s">
        <v>1778</v>
      </c>
      <c r="H121" s="209">
        <v>512.1</v>
      </c>
      <c r="T121" s="97"/>
      <c r="AT121" s="96" t="s">
        <v>1418</v>
      </c>
      <c r="AU121" s="96" t="s">
        <v>51</v>
      </c>
      <c r="AV121" s="95" t="s">
        <v>63</v>
      </c>
      <c r="AW121" s="95" t="s">
        <v>1420</v>
      </c>
      <c r="AX121" s="95" t="s">
        <v>51</v>
      </c>
      <c r="AY121" s="96" t="s">
        <v>881</v>
      </c>
    </row>
    <row r="122" spans="3:65" s="48" customFormat="1" ht="16.5" customHeight="1">
      <c r="C122" s="79" t="s">
        <v>559</v>
      </c>
      <c r="D122" s="79" t="s">
        <v>883</v>
      </c>
      <c r="E122" s="80" t="s">
        <v>1587</v>
      </c>
      <c r="F122" s="81" t="s">
        <v>124</v>
      </c>
      <c r="G122" s="82" t="s">
        <v>125</v>
      </c>
      <c r="H122" s="83">
        <v>54.624</v>
      </c>
      <c r="I122" s="527"/>
      <c r="J122" s="84">
        <f>ROUND(I122*H122,2)</f>
        <v>0</v>
      </c>
      <c r="K122" s="521"/>
      <c r="L122" s="533" t="s">
        <v>2130</v>
      </c>
      <c r="M122" s="530" t="s">
        <v>854</v>
      </c>
      <c r="N122" s="72" t="s">
        <v>860</v>
      </c>
      <c r="O122" s="73">
        <v>0</v>
      </c>
      <c r="P122" s="73">
        <f>O122*H122</f>
        <v>0</v>
      </c>
      <c r="Q122" s="73">
        <v>0</v>
      </c>
      <c r="R122" s="73">
        <f>Q122*H122</f>
        <v>0</v>
      </c>
      <c r="S122" s="73">
        <v>0</v>
      </c>
      <c r="T122" s="74">
        <f>S122*H122</f>
        <v>0</v>
      </c>
      <c r="AR122" s="75" t="s">
        <v>363</v>
      </c>
      <c r="AT122" s="75" t="s">
        <v>883</v>
      </c>
      <c r="AU122" s="75" t="s">
        <v>51</v>
      </c>
      <c r="AY122" s="47" t="s">
        <v>881</v>
      </c>
      <c r="BE122" s="76">
        <f>IF(N122="základní",J122,0)</f>
        <v>0</v>
      </c>
      <c r="BF122" s="76">
        <f>IF(N122="snížená",J122,0)</f>
        <v>0</v>
      </c>
      <c r="BG122" s="76">
        <f>IF(N122="zákl. přenesená",J122,0)</f>
        <v>0</v>
      </c>
      <c r="BH122" s="76">
        <f>IF(N122="sníž. přenesená",J122,0)</f>
        <v>0</v>
      </c>
      <c r="BI122" s="76">
        <f>IF(N122="nulová",J122,0)</f>
        <v>0</v>
      </c>
      <c r="BJ122" s="47" t="s">
        <v>51</v>
      </c>
      <c r="BK122" s="76">
        <f>ROUND(I122*H122,2)</f>
        <v>0</v>
      </c>
      <c r="BL122" s="47" t="s">
        <v>363</v>
      </c>
      <c r="BM122" s="75" t="s">
        <v>1779</v>
      </c>
    </row>
    <row r="123" spans="4:51" s="95" customFormat="1" ht="10.2">
      <c r="D123" s="207" t="s">
        <v>1418</v>
      </c>
      <c r="E123" s="96" t="s">
        <v>854</v>
      </c>
      <c r="F123" s="208" t="s">
        <v>1780</v>
      </c>
      <c r="H123" s="209">
        <v>54.624</v>
      </c>
      <c r="T123" s="97"/>
      <c r="AT123" s="96" t="s">
        <v>1418</v>
      </c>
      <c r="AU123" s="96" t="s">
        <v>51</v>
      </c>
      <c r="AV123" s="95" t="s">
        <v>63</v>
      </c>
      <c r="AW123" s="95" t="s">
        <v>1420</v>
      </c>
      <c r="AX123" s="95" t="s">
        <v>51</v>
      </c>
      <c r="AY123" s="96" t="s">
        <v>881</v>
      </c>
    </row>
    <row r="124" spans="3:65" s="48" customFormat="1" ht="21.75" customHeight="1">
      <c r="C124" s="79" t="s">
        <v>560</v>
      </c>
      <c r="D124" s="79" t="s">
        <v>883</v>
      </c>
      <c r="E124" s="80" t="s">
        <v>1593</v>
      </c>
      <c r="F124" s="81" t="s">
        <v>1594</v>
      </c>
      <c r="G124" s="82" t="s">
        <v>54</v>
      </c>
      <c r="H124" s="83">
        <v>470.4</v>
      </c>
      <c r="I124" s="527"/>
      <c r="J124" s="84">
        <f>ROUND(I124*H124,2)</f>
        <v>0</v>
      </c>
      <c r="K124" s="521"/>
      <c r="L124" s="533" t="s">
        <v>2474</v>
      </c>
      <c r="M124" s="530" t="s">
        <v>854</v>
      </c>
      <c r="N124" s="72" t="s">
        <v>860</v>
      </c>
      <c r="O124" s="73">
        <v>0.101</v>
      </c>
      <c r="P124" s="73">
        <f>O124*H124</f>
        <v>47.510400000000004</v>
      </c>
      <c r="Q124" s="73">
        <v>0</v>
      </c>
      <c r="R124" s="73">
        <f>Q124*H124</f>
        <v>0</v>
      </c>
      <c r="S124" s="73">
        <v>0</v>
      </c>
      <c r="T124" s="74">
        <f>S124*H124</f>
        <v>0</v>
      </c>
      <c r="AR124" s="75" t="s">
        <v>363</v>
      </c>
      <c r="AT124" s="75" t="s">
        <v>883</v>
      </c>
      <c r="AU124" s="75" t="s">
        <v>51</v>
      </c>
      <c r="AY124" s="47" t="s">
        <v>881</v>
      </c>
      <c r="BE124" s="76">
        <f>IF(N124="základní",J124,0)</f>
        <v>0</v>
      </c>
      <c r="BF124" s="76">
        <f>IF(N124="snížená",J124,0)</f>
        <v>0</v>
      </c>
      <c r="BG124" s="76">
        <f>IF(N124="zákl. přenesená",J124,0)</f>
        <v>0</v>
      </c>
      <c r="BH124" s="76">
        <f>IF(N124="sníž. přenesená",J124,0)</f>
        <v>0</v>
      </c>
      <c r="BI124" s="76">
        <f>IF(N124="nulová",J124,0)</f>
        <v>0</v>
      </c>
      <c r="BJ124" s="47" t="s">
        <v>51</v>
      </c>
      <c r="BK124" s="76">
        <f>ROUND(I124*H124,2)</f>
        <v>0</v>
      </c>
      <c r="BL124" s="47" t="s">
        <v>363</v>
      </c>
      <c r="BM124" s="75" t="s">
        <v>1781</v>
      </c>
    </row>
    <row r="125" spans="4:51" s="95" customFormat="1" ht="10.2">
      <c r="D125" s="207" t="s">
        <v>1418</v>
      </c>
      <c r="E125" s="96" t="s">
        <v>854</v>
      </c>
      <c r="F125" s="208" t="s">
        <v>1782</v>
      </c>
      <c r="H125" s="209">
        <v>470.4</v>
      </c>
      <c r="M125" s="98"/>
      <c r="N125" s="98"/>
      <c r="O125" s="98"/>
      <c r="P125" s="98"/>
      <c r="Q125" s="98"/>
      <c r="R125" s="98"/>
      <c r="S125" s="98"/>
      <c r="T125" s="99"/>
      <c r="AT125" s="96" t="s">
        <v>1418</v>
      </c>
      <c r="AU125" s="96" t="s">
        <v>51</v>
      </c>
      <c r="AV125" s="95" t="s">
        <v>63</v>
      </c>
      <c r="AW125" s="95" t="s">
        <v>1420</v>
      </c>
      <c r="AX125" s="95" t="s">
        <v>880</v>
      </c>
      <c r="AY125" s="96" t="s">
        <v>881</v>
      </c>
    </row>
    <row r="126" s="48" customFormat="1" ht="6.9" customHeight="1">
      <c r="K126" s="50"/>
    </row>
  </sheetData>
  <sheetProtection algorithmName="SHA-512" hashValue="o7VFjM1/PIjJY3keQkap2yohi+NbwZHsznDp7FcEG4RDp/vExQ4jdyaylahJxZqjuDOZTsHLNvwiZpC2WIieIA==" saltValue="RPxK3VI8dQya7JDaxYw9nA==" spinCount="100000" sheet="1" objects="1" scenarios="1"/>
  <mergeCells count="2">
    <mergeCell ref="E6:H6"/>
    <mergeCell ref="E8:H8"/>
  </mergeCells>
  <printOptions horizontalCentered="1"/>
  <pageMargins left="0.7086614173228347" right="0.7086614173228347" top="0.7874015748031497" bottom="0.7874015748031497" header="0.31496062992125984" footer="0.31496062992125984"/>
  <pageSetup fitToHeight="100" fitToWidth="1" horizontalDpi="600" verticalDpi="600" orientation="portrait" paperSize="9" scale="75" r:id="rId1"/>
  <headerFooter>
    <oddFooter>&amp;CStrana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27EC0-448D-4368-A90F-E8B8B99A3F4A}">
  <sheetPr>
    <pageSetUpPr fitToPage="1"/>
  </sheetPr>
  <dimension ref="C2:BM80"/>
  <sheetViews>
    <sheetView showGridLines="0" view="pageBreakPreview" zoomScale="115" zoomScaleSheetLayoutView="115" workbookViewId="0" topLeftCell="A55">
      <selection activeCell="F40" sqref="F40"/>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8.710937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97" width="9.140625" style="0" hidden="1" customWidth="1"/>
    <col min="98" max="98" width="1.28515625" style="0"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1597</v>
      </c>
      <c r="F6" s="646"/>
      <c r="G6" s="646"/>
      <c r="H6" s="646"/>
    </row>
    <row r="7" s="48" customFormat="1" ht="12" customHeight="1">
      <c r="C7" s="197" t="s">
        <v>852</v>
      </c>
    </row>
    <row r="8" spans="5:8" s="48" customFormat="1" ht="16.5" customHeight="1">
      <c r="E8" s="647" t="s">
        <v>1783</v>
      </c>
      <c r="F8" s="648"/>
      <c r="G8" s="648"/>
      <c r="H8" s="648"/>
    </row>
    <row r="9" s="48" customFormat="1" ht="6.9" customHeight="1"/>
    <row r="10" spans="3:10" s="48" customFormat="1" ht="12" customHeight="1">
      <c r="C10" s="197" t="s">
        <v>855</v>
      </c>
      <c r="F10" s="198" t="s">
        <v>1410</v>
      </c>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23"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P17+P50</f>
        <v>383.6946240000001</v>
      </c>
      <c r="Q16" s="49"/>
      <c r="R16" s="61">
        <f>R17+R50</f>
        <v>20.27408781999999</v>
      </c>
      <c r="S16" s="49"/>
      <c r="T16" s="62">
        <f>T17+T50</f>
        <v>0</v>
      </c>
      <c r="AT16" s="47" t="s">
        <v>877</v>
      </c>
      <c r="AU16" s="47" t="s">
        <v>863</v>
      </c>
      <c r="BK16" s="63">
        <f>BK17+BK50</f>
        <v>0</v>
      </c>
    </row>
    <row r="17" spans="4:63" s="64" customFormat="1" ht="25.95" customHeight="1">
      <c r="D17" s="65" t="s">
        <v>877</v>
      </c>
      <c r="E17" s="203" t="s">
        <v>1411</v>
      </c>
      <c r="F17" s="203" t="s">
        <v>1636</v>
      </c>
      <c r="J17" s="204">
        <f>BK17</f>
        <v>0</v>
      </c>
      <c r="P17" s="67">
        <f>P18+P36</f>
        <v>130.787</v>
      </c>
      <c r="R17" s="67">
        <f>R18+R36</f>
        <v>0.55551</v>
      </c>
      <c r="T17" s="68">
        <f>T18+T36</f>
        <v>0</v>
      </c>
      <c r="AR17" s="65" t="s">
        <v>63</v>
      </c>
      <c r="AT17" s="69" t="s">
        <v>877</v>
      </c>
      <c r="AU17" s="69" t="s">
        <v>880</v>
      </c>
      <c r="AY17" s="65" t="s">
        <v>881</v>
      </c>
      <c r="BK17" s="70">
        <f>BK18+BK36</f>
        <v>0</v>
      </c>
    </row>
    <row r="18" spans="4:63" s="64" customFormat="1" ht="22.95" customHeight="1">
      <c r="D18" s="65" t="s">
        <v>877</v>
      </c>
      <c r="E18" s="205" t="s">
        <v>1413</v>
      </c>
      <c r="F18" s="205" t="s">
        <v>1414</v>
      </c>
      <c r="J18" s="206">
        <f>BK18</f>
        <v>0</v>
      </c>
      <c r="P18" s="67">
        <f>SUM(P19:P35)</f>
        <v>95.502</v>
      </c>
      <c r="R18" s="67">
        <f>SUM(R19:R35)</f>
        <v>0.42276</v>
      </c>
      <c r="T18" s="68">
        <f>SUM(T19:T35)</f>
        <v>0</v>
      </c>
      <c r="AR18" s="65" t="s">
        <v>63</v>
      </c>
      <c r="AT18" s="69" t="s">
        <v>877</v>
      </c>
      <c r="AU18" s="69" t="s">
        <v>51</v>
      </c>
      <c r="AY18" s="65" t="s">
        <v>881</v>
      </c>
      <c r="BK18" s="70">
        <f>SUM(BK19:BK35)</f>
        <v>0</v>
      </c>
    </row>
    <row r="19" spans="3:65" s="48" customFormat="1" ht="24.15" customHeight="1">
      <c r="C19" s="79" t="s">
        <v>51</v>
      </c>
      <c r="D19" s="79" t="s">
        <v>883</v>
      </c>
      <c r="E19" s="80" t="s">
        <v>1415</v>
      </c>
      <c r="F19" s="81" t="s">
        <v>1416</v>
      </c>
      <c r="G19" s="82" t="s">
        <v>74</v>
      </c>
      <c r="H19" s="83">
        <v>221</v>
      </c>
      <c r="I19" s="527"/>
      <c r="J19" s="84">
        <f>ROUND(I19*H19,2)</f>
        <v>0</v>
      </c>
      <c r="K19" s="521"/>
      <c r="L19" s="533" t="s">
        <v>2130</v>
      </c>
      <c r="M19" s="530" t="s">
        <v>854</v>
      </c>
      <c r="N19" s="72" t="s">
        <v>860</v>
      </c>
      <c r="O19" s="73">
        <v>0.131</v>
      </c>
      <c r="P19" s="73">
        <f>O19*H19</f>
        <v>28.951</v>
      </c>
      <c r="Q19" s="73">
        <v>0</v>
      </c>
      <c r="R19" s="73">
        <f>Q19*H19</f>
        <v>0</v>
      </c>
      <c r="S19" s="73">
        <v>0</v>
      </c>
      <c r="T19" s="74">
        <f>S19*H19</f>
        <v>0</v>
      </c>
      <c r="AR19" s="75" t="s">
        <v>92</v>
      </c>
      <c r="AT19" s="75" t="s">
        <v>883</v>
      </c>
      <c r="AU19" s="75" t="s">
        <v>63</v>
      </c>
      <c r="AY19" s="47" t="s">
        <v>881</v>
      </c>
      <c r="BE19" s="76">
        <f>IF(N19="základní",J19,0)</f>
        <v>0</v>
      </c>
      <c r="BF19" s="76">
        <f>IF(N19="snížená",J19,0)</f>
        <v>0</v>
      </c>
      <c r="BG19" s="76">
        <f>IF(N19="zákl. přenesená",J19,0)</f>
        <v>0</v>
      </c>
      <c r="BH19" s="76">
        <f>IF(N19="sníž. přenesená",J19,0)</f>
        <v>0</v>
      </c>
      <c r="BI19" s="76">
        <f>IF(N19="nulová",J19,0)</f>
        <v>0</v>
      </c>
      <c r="BJ19" s="47" t="s">
        <v>51</v>
      </c>
      <c r="BK19" s="76">
        <f>ROUND(I19*H19,2)</f>
        <v>0</v>
      </c>
      <c r="BL19" s="47" t="s">
        <v>92</v>
      </c>
      <c r="BM19" s="75" t="s">
        <v>1640</v>
      </c>
    </row>
    <row r="20" spans="4:51" s="95" customFormat="1" ht="10.2">
      <c r="D20" s="207" t="s">
        <v>1418</v>
      </c>
      <c r="E20" s="96" t="s">
        <v>854</v>
      </c>
      <c r="F20" s="208" t="s">
        <v>1784</v>
      </c>
      <c r="H20" s="209">
        <v>200</v>
      </c>
      <c r="T20" s="97"/>
      <c r="AT20" s="96" t="s">
        <v>1418</v>
      </c>
      <c r="AU20" s="96" t="s">
        <v>63</v>
      </c>
      <c r="AV20" s="95" t="s">
        <v>63</v>
      </c>
      <c r="AW20" s="95" t="s">
        <v>1420</v>
      </c>
      <c r="AX20" s="95" t="s">
        <v>880</v>
      </c>
      <c r="AY20" s="96" t="s">
        <v>881</v>
      </c>
    </row>
    <row r="21" spans="4:51" s="95" customFormat="1" ht="10.2">
      <c r="D21" s="207" t="s">
        <v>1418</v>
      </c>
      <c r="E21" s="96" t="s">
        <v>854</v>
      </c>
      <c r="F21" s="208" t="s">
        <v>1785</v>
      </c>
      <c r="H21" s="209">
        <v>21</v>
      </c>
      <c r="T21" s="97"/>
      <c r="AT21" s="96" t="s">
        <v>1418</v>
      </c>
      <c r="AU21" s="96" t="s">
        <v>63</v>
      </c>
      <c r="AV21" s="95" t="s">
        <v>63</v>
      </c>
      <c r="AW21" s="95" t="s">
        <v>1420</v>
      </c>
      <c r="AX21" s="95" t="s">
        <v>880</v>
      </c>
      <c r="AY21" s="96" t="s">
        <v>881</v>
      </c>
    </row>
    <row r="22" spans="3:65" s="48" customFormat="1" ht="24.15" customHeight="1">
      <c r="C22" s="85" t="s">
        <v>63</v>
      </c>
      <c r="D22" s="85" t="s">
        <v>201</v>
      </c>
      <c r="E22" s="86" t="s">
        <v>1423</v>
      </c>
      <c r="F22" s="87" t="s">
        <v>1424</v>
      </c>
      <c r="G22" s="88" t="s">
        <v>74</v>
      </c>
      <c r="H22" s="89">
        <v>221</v>
      </c>
      <c r="I22" s="528"/>
      <c r="J22" s="90">
        <f>ROUND(I22*H22,2)</f>
        <v>0</v>
      </c>
      <c r="K22" s="522"/>
      <c r="L22" s="533" t="s">
        <v>2130</v>
      </c>
      <c r="M22" s="531" t="s">
        <v>854</v>
      </c>
      <c r="N22" s="78" t="s">
        <v>860</v>
      </c>
      <c r="O22" s="73">
        <v>0</v>
      </c>
      <c r="P22" s="73">
        <f>O22*H22</f>
        <v>0</v>
      </c>
      <c r="Q22" s="73">
        <v>0.00035</v>
      </c>
      <c r="R22" s="73">
        <f>Q22*H22</f>
        <v>0.07735</v>
      </c>
      <c r="S22" s="73">
        <v>0</v>
      </c>
      <c r="T22" s="74">
        <f>S22*H22</f>
        <v>0</v>
      </c>
      <c r="AR22" s="75" t="s">
        <v>221</v>
      </c>
      <c r="AT22" s="75" t="s">
        <v>201</v>
      </c>
      <c r="AU22" s="75" t="s">
        <v>63</v>
      </c>
      <c r="AY22" s="47" t="s">
        <v>881</v>
      </c>
      <c r="BE22" s="76">
        <f>IF(N22="základní",J22,0)</f>
        <v>0</v>
      </c>
      <c r="BF22" s="76">
        <f>IF(N22="snížená",J22,0)</f>
        <v>0</v>
      </c>
      <c r="BG22" s="76">
        <f>IF(N22="zákl. přenesená",J22,0)</f>
        <v>0</v>
      </c>
      <c r="BH22" s="76">
        <f>IF(N22="sníž. přenesená",J22,0)</f>
        <v>0</v>
      </c>
      <c r="BI22" s="76">
        <f>IF(N22="nulová",J22,0)</f>
        <v>0</v>
      </c>
      <c r="BJ22" s="47" t="s">
        <v>51</v>
      </c>
      <c r="BK22" s="76">
        <f>ROUND(I22*H22,2)</f>
        <v>0</v>
      </c>
      <c r="BL22" s="47" t="s">
        <v>92</v>
      </c>
      <c r="BM22" s="75" t="s">
        <v>1641</v>
      </c>
    </row>
    <row r="23" spans="3:65" s="48" customFormat="1" ht="24.15" customHeight="1">
      <c r="C23" s="79" t="s">
        <v>67</v>
      </c>
      <c r="D23" s="79" t="s">
        <v>883</v>
      </c>
      <c r="E23" s="80" t="s">
        <v>1426</v>
      </c>
      <c r="F23" s="81" t="s">
        <v>1427</v>
      </c>
      <c r="G23" s="82" t="s">
        <v>74</v>
      </c>
      <c r="H23" s="83">
        <v>235</v>
      </c>
      <c r="I23" s="527"/>
      <c r="J23" s="84">
        <f>ROUND(I23*H23,2)</f>
        <v>0</v>
      </c>
      <c r="K23" s="521"/>
      <c r="L23" s="533" t="s">
        <v>2474</v>
      </c>
      <c r="M23" s="530" t="s">
        <v>854</v>
      </c>
      <c r="N23" s="72" t="s">
        <v>860</v>
      </c>
      <c r="O23" s="73">
        <v>0.068</v>
      </c>
      <c r="P23" s="73">
        <f>O23*H23</f>
        <v>15.98</v>
      </c>
      <c r="Q23" s="73">
        <v>0</v>
      </c>
      <c r="R23" s="73">
        <f>Q23*H23</f>
        <v>0</v>
      </c>
      <c r="S23" s="73">
        <v>0</v>
      </c>
      <c r="T23" s="74">
        <f>S23*H23</f>
        <v>0</v>
      </c>
      <c r="AR23" s="75" t="s">
        <v>92</v>
      </c>
      <c r="AT23" s="75" t="s">
        <v>883</v>
      </c>
      <c r="AU23" s="75" t="s">
        <v>63</v>
      </c>
      <c r="AY23" s="47" t="s">
        <v>881</v>
      </c>
      <c r="BE23" s="76">
        <f>IF(N23="základní",J23,0)</f>
        <v>0</v>
      </c>
      <c r="BF23" s="76">
        <f>IF(N23="snížená",J23,0)</f>
        <v>0</v>
      </c>
      <c r="BG23" s="76">
        <f>IF(N23="zákl. přenesená",J23,0)</f>
        <v>0</v>
      </c>
      <c r="BH23" s="76">
        <f>IF(N23="sníž. přenesená",J23,0)</f>
        <v>0</v>
      </c>
      <c r="BI23" s="76">
        <f>IF(N23="nulová",J23,0)</f>
        <v>0</v>
      </c>
      <c r="BJ23" s="47" t="s">
        <v>51</v>
      </c>
      <c r="BK23" s="76">
        <f>ROUND(I23*H23,2)</f>
        <v>0</v>
      </c>
      <c r="BL23" s="47" t="s">
        <v>92</v>
      </c>
      <c r="BM23" s="75" t="s">
        <v>1645</v>
      </c>
    </row>
    <row r="24" spans="4:51" s="95" customFormat="1" ht="10.2">
      <c r="D24" s="207" t="s">
        <v>1418</v>
      </c>
      <c r="E24" s="96" t="s">
        <v>854</v>
      </c>
      <c r="F24" s="208" t="s">
        <v>1784</v>
      </c>
      <c r="H24" s="209">
        <v>200</v>
      </c>
      <c r="T24" s="97"/>
      <c r="AT24" s="96" t="s">
        <v>1418</v>
      </c>
      <c r="AU24" s="96" t="s">
        <v>63</v>
      </c>
      <c r="AV24" s="95" t="s">
        <v>63</v>
      </c>
      <c r="AW24" s="95" t="s">
        <v>1420</v>
      </c>
      <c r="AX24" s="95" t="s">
        <v>880</v>
      </c>
      <c r="AY24" s="96" t="s">
        <v>881</v>
      </c>
    </row>
    <row r="25" spans="4:51" s="95" customFormat="1" ht="10.2">
      <c r="D25" s="207" t="s">
        <v>1418</v>
      </c>
      <c r="E25" s="96" t="s">
        <v>854</v>
      </c>
      <c r="F25" s="208" t="s">
        <v>1786</v>
      </c>
      <c r="H25" s="209">
        <v>35</v>
      </c>
      <c r="T25" s="97"/>
      <c r="AT25" s="96" t="s">
        <v>1418</v>
      </c>
      <c r="AU25" s="96" t="s">
        <v>63</v>
      </c>
      <c r="AV25" s="95" t="s">
        <v>63</v>
      </c>
      <c r="AW25" s="95" t="s">
        <v>1420</v>
      </c>
      <c r="AX25" s="95" t="s">
        <v>880</v>
      </c>
      <c r="AY25" s="96" t="s">
        <v>881</v>
      </c>
    </row>
    <row r="26" spans="3:65" s="48" customFormat="1" ht="16.5" customHeight="1">
      <c r="C26" s="85" t="s">
        <v>71</v>
      </c>
      <c r="D26" s="85" t="s">
        <v>201</v>
      </c>
      <c r="E26" s="86" t="s">
        <v>1431</v>
      </c>
      <c r="F26" s="87" t="s">
        <v>1432</v>
      </c>
      <c r="G26" s="88" t="s">
        <v>74</v>
      </c>
      <c r="H26" s="89">
        <v>235</v>
      </c>
      <c r="I26" s="528"/>
      <c r="J26" s="90">
        <f>ROUND(I26*H26,2)</f>
        <v>0</v>
      </c>
      <c r="K26" s="522"/>
      <c r="L26" s="533" t="s">
        <v>2474</v>
      </c>
      <c r="M26" s="531" t="s">
        <v>854</v>
      </c>
      <c r="N26" s="78" t="s">
        <v>860</v>
      </c>
      <c r="O26" s="73">
        <v>0</v>
      </c>
      <c r="P26" s="73">
        <f>O26*H26</f>
        <v>0</v>
      </c>
      <c r="Q26" s="73">
        <v>0.00091</v>
      </c>
      <c r="R26" s="73">
        <f>Q26*H26</f>
        <v>0.21385</v>
      </c>
      <c r="S26" s="73">
        <v>0</v>
      </c>
      <c r="T26" s="74">
        <f>S26*H26</f>
        <v>0</v>
      </c>
      <c r="AR26" s="75" t="s">
        <v>221</v>
      </c>
      <c r="AT26" s="75" t="s">
        <v>201</v>
      </c>
      <c r="AU26" s="75" t="s">
        <v>63</v>
      </c>
      <c r="AY26" s="47" t="s">
        <v>881</v>
      </c>
      <c r="BE26" s="76">
        <f>IF(N26="základní",J26,0)</f>
        <v>0</v>
      </c>
      <c r="BF26" s="76">
        <f>IF(N26="snížená",J26,0)</f>
        <v>0</v>
      </c>
      <c r="BG26" s="76">
        <f>IF(N26="zákl. přenesená",J26,0)</f>
        <v>0</v>
      </c>
      <c r="BH26" s="76">
        <f>IF(N26="sníž. přenesená",J26,0)</f>
        <v>0</v>
      </c>
      <c r="BI26" s="76">
        <f>IF(N26="nulová",J26,0)</f>
        <v>0</v>
      </c>
      <c r="BJ26" s="47" t="s">
        <v>51</v>
      </c>
      <c r="BK26" s="76">
        <f>ROUND(I26*H26,2)</f>
        <v>0</v>
      </c>
      <c r="BL26" s="47" t="s">
        <v>92</v>
      </c>
      <c r="BM26" s="75" t="s">
        <v>1648</v>
      </c>
    </row>
    <row r="27" spans="3:65" s="48" customFormat="1" ht="24.15" customHeight="1">
      <c r="C27" s="79" t="s">
        <v>78</v>
      </c>
      <c r="D27" s="79" t="s">
        <v>883</v>
      </c>
      <c r="E27" s="80" t="s">
        <v>1434</v>
      </c>
      <c r="F27" s="81" t="s">
        <v>1435</v>
      </c>
      <c r="G27" s="82" t="s">
        <v>260</v>
      </c>
      <c r="H27" s="83">
        <v>16</v>
      </c>
      <c r="I27" s="527"/>
      <c r="J27" s="84">
        <f>ROUND(I27*H27,2)</f>
        <v>0</v>
      </c>
      <c r="K27" s="521"/>
      <c r="L27" s="533" t="s">
        <v>2474</v>
      </c>
      <c r="M27" s="530" t="s">
        <v>854</v>
      </c>
      <c r="N27" s="72" t="s">
        <v>860</v>
      </c>
      <c r="O27" s="73">
        <v>0.382</v>
      </c>
      <c r="P27" s="73">
        <f>O27*H27</f>
        <v>6.112</v>
      </c>
      <c r="Q27" s="73">
        <v>0</v>
      </c>
      <c r="R27" s="73">
        <f>Q27*H27</f>
        <v>0</v>
      </c>
      <c r="S27" s="73">
        <v>0</v>
      </c>
      <c r="T27" s="74">
        <f>S27*H27</f>
        <v>0</v>
      </c>
      <c r="AR27" s="75" t="s">
        <v>92</v>
      </c>
      <c r="AT27" s="75" t="s">
        <v>883</v>
      </c>
      <c r="AU27" s="75" t="s">
        <v>63</v>
      </c>
      <c r="AY27" s="47" t="s">
        <v>881</v>
      </c>
      <c r="BE27" s="76">
        <f>IF(N27="základní",J27,0)</f>
        <v>0</v>
      </c>
      <c r="BF27" s="76">
        <f>IF(N27="snížená",J27,0)</f>
        <v>0</v>
      </c>
      <c r="BG27" s="76">
        <f>IF(N27="zákl. přenesená",J27,0)</f>
        <v>0</v>
      </c>
      <c r="BH27" s="76">
        <f>IF(N27="sníž. přenesená",J27,0)</f>
        <v>0</v>
      </c>
      <c r="BI27" s="76">
        <f>IF(N27="nulová",J27,0)</f>
        <v>0</v>
      </c>
      <c r="BJ27" s="47" t="s">
        <v>51</v>
      </c>
      <c r="BK27" s="76">
        <f>ROUND(I27*H27,2)</f>
        <v>0</v>
      </c>
      <c r="BL27" s="47" t="s">
        <v>92</v>
      </c>
      <c r="BM27" s="75" t="s">
        <v>1656</v>
      </c>
    </row>
    <row r="28" spans="3:65" s="48" customFormat="1" ht="24.15" customHeight="1">
      <c r="C28" s="79" t="s">
        <v>85</v>
      </c>
      <c r="D28" s="79" t="s">
        <v>883</v>
      </c>
      <c r="E28" s="80" t="s">
        <v>1437</v>
      </c>
      <c r="F28" s="81" t="s">
        <v>1438</v>
      </c>
      <c r="G28" s="82" t="s">
        <v>74</v>
      </c>
      <c r="H28" s="83">
        <v>207</v>
      </c>
      <c r="I28" s="527"/>
      <c r="J28" s="84">
        <f>ROUND(I28*H28,2)</f>
        <v>0</v>
      </c>
      <c r="K28" s="521"/>
      <c r="L28" s="533" t="s">
        <v>2474</v>
      </c>
      <c r="M28" s="530" t="s">
        <v>854</v>
      </c>
      <c r="N28" s="72" t="s">
        <v>860</v>
      </c>
      <c r="O28" s="73">
        <v>0.123</v>
      </c>
      <c r="P28" s="73">
        <f>O28*H28</f>
        <v>25.461</v>
      </c>
      <c r="Q28" s="73">
        <v>0</v>
      </c>
      <c r="R28" s="73">
        <f>Q28*H28</f>
        <v>0</v>
      </c>
      <c r="S28" s="73">
        <v>0</v>
      </c>
      <c r="T28" s="74">
        <f>S28*H28</f>
        <v>0</v>
      </c>
      <c r="AR28" s="75" t="s">
        <v>92</v>
      </c>
      <c r="AT28" s="75" t="s">
        <v>883</v>
      </c>
      <c r="AU28" s="75" t="s">
        <v>63</v>
      </c>
      <c r="AY28" s="47" t="s">
        <v>881</v>
      </c>
      <c r="BE28" s="76">
        <f>IF(N28="základní",J28,0)</f>
        <v>0</v>
      </c>
      <c r="BF28" s="76">
        <f>IF(N28="snížená",J28,0)</f>
        <v>0</v>
      </c>
      <c r="BG28" s="76">
        <f>IF(N28="zákl. přenesená",J28,0)</f>
        <v>0</v>
      </c>
      <c r="BH28" s="76">
        <f>IF(N28="sníž. přenesená",J28,0)</f>
        <v>0</v>
      </c>
      <c r="BI28" s="76">
        <f>IF(N28="nulová",J28,0)</f>
        <v>0</v>
      </c>
      <c r="BJ28" s="47" t="s">
        <v>51</v>
      </c>
      <c r="BK28" s="76">
        <f>ROUND(I28*H28,2)</f>
        <v>0</v>
      </c>
      <c r="BL28" s="47" t="s">
        <v>92</v>
      </c>
      <c r="BM28" s="75" t="s">
        <v>1660</v>
      </c>
    </row>
    <row r="29" spans="4:51" s="95" customFormat="1" ht="10.2">
      <c r="D29" s="207" t="s">
        <v>1418</v>
      </c>
      <c r="E29" s="96" t="s">
        <v>854</v>
      </c>
      <c r="F29" s="208" t="s">
        <v>1784</v>
      </c>
      <c r="H29" s="209">
        <v>200</v>
      </c>
      <c r="T29" s="97"/>
      <c r="AT29" s="96" t="s">
        <v>1418</v>
      </c>
      <c r="AU29" s="96" t="s">
        <v>63</v>
      </c>
      <c r="AV29" s="95" t="s">
        <v>63</v>
      </c>
      <c r="AW29" s="95" t="s">
        <v>1420</v>
      </c>
      <c r="AX29" s="95" t="s">
        <v>880</v>
      </c>
      <c r="AY29" s="96" t="s">
        <v>881</v>
      </c>
    </row>
    <row r="30" spans="4:51" s="95" customFormat="1" ht="10.2">
      <c r="D30" s="207" t="s">
        <v>1418</v>
      </c>
      <c r="E30" s="96" t="s">
        <v>854</v>
      </c>
      <c r="F30" s="208" t="s">
        <v>1787</v>
      </c>
      <c r="H30" s="209">
        <v>7</v>
      </c>
      <c r="T30" s="97"/>
      <c r="AT30" s="96" t="s">
        <v>1418</v>
      </c>
      <c r="AU30" s="96" t="s">
        <v>63</v>
      </c>
      <c r="AV30" s="95" t="s">
        <v>63</v>
      </c>
      <c r="AW30" s="95" t="s">
        <v>1420</v>
      </c>
      <c r="AX30" s="95" t="s">
        <v>880</v>
      </c>
      <c r="AY30" s="96" t="s">
        <v>881</v>
      </c>
    </row>
    <row r="31" spans="3:65" s="48" customFormat="1" ht="16.5" customHeight="1">
      <c r="C31" s="85" t="s">
        <v>89</v>
      </c>
      <c r="D31" s="85" t="s">
        <v>201</v>
      </c>
      <c r="E31" s="86" t="s">
        <v>1441</v>
      </c>
      <c r="F31" s="87" t="s">
        <v>1442</v>
      </c>
      <c r="G31" s="88" t="s">
        <v>1443</v>
      </c>
      <c r="H31" s="89">
        <v>128.34</v>
      </c>
      <c r="I31" s="528"/>
      <c r="J31" s="90">
        <f>ROUND(I31*H31,2)</f>
        <v>0</v>
      </c>
      <c r="K31" s="522"/>
      <c r="L31" s="533" t="s">
        <v>2474</v>
      </c>
      <c r="M31" s="531" t="s">
        <v>854</v>
      </c>
      <c r="N31" s="78" t="s">
        <v>860</v>
      </c>
      <c r="O31" s="73">
        <v>0</v>
      </c>
      <c r="P31" s="73">
        <f>O31*H31</f>
        <v>0</v>
      </c>
      <c r="Q31" s="73">
        <v>0.001</v>
      </c>
      <c r="R31" s="73">
        <f>Q31*H31</f>
        <v>0.12834</v>
      </c>
      <c r="S31" s="73">
        <v>0</v>
      </c>
      <c r="T31" s="74">
        <f>S31*H31</f>
        <v>0</v>
      </c>
      <c r="AR31" s="75" t="s">
        <v>1444</v>
      </c>
      <c r="AT31" s="75" t="s">
        <v>201</v>
      </c>
      <c r="AU31" s="75" t="s">
        <v>63</v>
      </c>
      <c r="AY31" s="47" t="s">
        <v>881</v>
      </c>
      <c r="BE31" s="76">
        <f>IF(N31="základní",J31,0)</f>
        <v>0</v>
      </c>
      <c r="BF31" s="76">
        <f>IF(N31="snížená",J31,0)</f>
        <v>0</v>
      </c>
      <c r="BG31" s="76">
        <f>IF(N31="zákl. přenesená",J31,0)</f>
        <v>0</v>
      </c>
      <c r="BH31" s="76">
        <f>IF(N31="sníž. přenesená",J31,0)</f>
        <v>0</v>
      </c>
      <c r="BI31" s="76">
        <f>IF(N31="nulová",J31,0)</f>
        <v>0</v>
      </c>
      <c r="BJ31" s="47" t="s">
        <v>51</v>
      </c>
      <c r="BK31" s="76">
        <f>ROUND(I31*H31,2)</f>
        <v>0</v>
      </c>
      <c r="BL31" s="47" t="s">
        <v>363</v>
      </c>
      <c r="BM31" s="75" t="s">
        <v>1663</v>
      </c>
    </row>
    <row r="32" spans="4:51" s="95" customFormat="1" ht="10.2">
      <c r="D32" s="207" t="s">
        <v>1418</v>
      </c>
      <c r="E32" s="96" t="s">
        <v>854</v>
      </c>
      <c r="F32" s="208" t="s">
        <v>1788</v>
      </c>
      <c r="H32" s="209">
        <v>128.34</v>
      </c>
      <c r="T32" s="97"/>
      <c r="AT32" s="96" t="s">
        <v>1418</v>
      </c>
      <c r="AU32" s="96" t="s">
        <v>63</v>
      </c>
      <c r="AV32" s="95" t="s">
        <v>63</v>
      </c>
      <c r="AW32" s="95" t="s">
        <v>1420</v>
      </c>
      <c r="AX32" s="95" t="s">
        <v>51</v>
      </c>
      <c r="AY32" s="96" t="s">
        <v>881</v>
      </c>
    </row>
    <row r="33" spans="3:65" s="48" customFormat="1" ht="16.5" customHeight="1">
      <c r="C33" s="79" t="s">
        <v>94</v>
      </c>
      <c r="D33" s="79" t="s">
        <v>883</v>
      </c>
      <c r="E33" s="80" t="s">
        <v>1447</v>
      </c>
      <c r="F33" s="81" t="s">
        <v>1448</v>
      </c>
      <c r="G33" s="82" t="s">
        <v>260</v>
      </c>
      <c r="H33" s="83">
        <v>14</v>
      </c>
      <c r="I33" s="527"/>
      <c r="J33" s="84">
        <f>ROUND(I33*H33,2)</f>
        <v>0</v>
      </c>
      <c r="K33" s="521"/>
      <c r="L33" s="533" t="s">
        <v>2474</v>
      </c>
      <c r="M33" s="530" t="s">
        <v>854</v>
      </c>
      <c r="N33" s="72" t="s">
        <v>860</v>
      </c>
      <c r="O33" s="73">
        <v>0.252</v>
      </c>
      <c r="P33" s="73">
        <f>O33*H33</f>
        <v>3.528</v>
      </c>
      <c r="Q33" s="73">
        <v>0</v>
      </c>
      <c r="R33" s="73">
        <f>Q33*H33</f>
        <v>0</v>
      </c>
      <c r="S33" s="73">
        <v>0</v>
      </c>
      <c r="T33" s="74">
        <f>S33*H33</f>
        <v>0</v>
      </c>
      <c r="AR33" s="75" t="s">
        <v>92</v>
      </c>
      <c r="AT33" s="75" t="s">
        <v>883</v>
      </c>
      <c r="AU33" s="75" t="s">
        <v>63</v>
      </c>
      <c r="AY33" s="47" t="s">
        <v>881</v>
      </c>
      <c r="BE33" s="76">
        <f>IF(N33="základní",J33,0)</f>
        <v>0</v>
      </c>
      <c r="BF33" s="76">
        <f>IF(N33="snížená",J33,0)</f>
        <v>0</v>
      </c>
      <c r="BG33" s="76">
        <f>IF(N33="zákl. přenesená",J33,0)</f>
        <v>0</v>
      </c>
      <c r="BH33" s="76">
        <f>IF(N33="sníž. přenesená",J33,0)</f>
        <v>0</v>
      </c>
      <c r="BI33" s="76">
        <f>IF(N33="nulová",J33,0)</f>
        <v>0</v>
      </c>
      <c r="BJ33" s="47" t="s">
        <v>51</v>
      </c>
      <c r="BK33" s="76">
        <f>ROUND(I33*H33,2)</f>
        <v>0</v>
      </c>
      <c r="BL33" s="47" t="s">
        <v>92</v>
      </c>
      <c r="BM33" s="75" t="s">
        <v>1665</v>
      </c>
    </row>
    <row r="34" spans="3:65" s="48" customFormat="1" ht="16.5" customHeight="1">
      <c r="C34" s="85" t="s">
        <v>98</v>
      </c>
      <c r="D34" s="85" t="s">
        <v>201</v>
      </c>
      <c r="E34" s="86" t="s">
        <v>1450</v>
      </c>
      <c r="F34" s="87" t="s">
        <v>1451</v>
      </c>
      <c r="G34" s="88" t="s">
        <v>260</v>
      </c>
      <c r="H34" s="89">
        <v>14</v>
      </c>
      <c r="I34" s="528"/>
      <c r="J34" s="90">
        <f>ROUND(I34*H34,2)</f>
        <v>0</v>
      </c>
      <c r="K34" s="522"/>
      <c r="L34" s="533" t="s">
        <v>2474</v>
      </c>
      <c r="M34" s="531" t="s">
        <v>854</v>
      </c>
      <c r="N34" s="78" t="s">
        <v>860</v>
      </c>
      <c r="O34" s="73">
        <v>0</v>
      </c>
      <c r="P34" s="73">
        <f>O34*H34</f>
        <v>0</v>
      </c>
      <c r="Q34" s="73">
        <v>0.00023</v>
      </c>
      <c r="R34" s="73">
        <f>Q34*H34</f>
        <v>0.00322</v>
      </c>
      <c r="S34" s="73">
        <v>0</v>
      </c>
      <c r="T34" s="74">
        <f>S34*H34</f>
        <v>0</v>
      </c>
      <c r="AR34" s="75" t="s">
        <v>221</v>
      </c>
      <c r="AT34" s="75" t="s">
        <v>201</v>
      </c>
      <c r="AU34" s="75" t="s">
        <v>63</v>
      </c>
      <c r="AY34" s="47" t="s">
        <v>881</v>
      </c>
      <c r="BE34" s="76">
        <f>IF(N34="základní",J34,0)</f>
        <v>0</v>
      </c>
      <c r="BF34" s="76">
        <f>IF(N34="snížená",J34,0)</f>
        <v>0</v>
      </c>
      <c r="BG34" s="76">
        <f>IF(N34="zákl. přenesená",J34,0)</f>
        <v>0</v>
      </c>
      <c r="BH34" s="76">
        <f>IF(N34="sníž. přenesená",J34,0)</f>
        <v>0</v>
      </c>
      <c r="BI34" s="76">
        <f>IF(N34="nulová",J34,0)</f>
        <v>0</v>
      </c>
      <c r="BJ34" s="47" t="s">
        <v>51</v>
      </c>
      <c r="BK34" s="76">
        <f>ROUND(I34*H34,2)</f>
        <v>0</v>
      </c>
      <c r="BL34" s="47" t="s">
        <v>92</v>
      </c>
      <c r="BM34" s="75" t="s">
        <v>1666</v>
      </c>
    </row>
    <row r="35" spans="3:65" s="48" customFormat="1" ht="24.15" customHeight="1">
      <c r="C35" s="79" t="s">
        <v>104</v>
      </c>
      <c r="D35" s="79" t="s">
        <v>883</v>
      </c>
      <c r="E35" s="80" t="s">
        <v>1453</v>
      </c>
      <c r="F35" s="81" t="s">
        <v>1454</v>
      </c>
      <c r="G35" s="82" t="s">
        <v>74</v>
      </c>
      <c r="H35" s="83">
        <v>221</v>
      </c>
      <c r="I35" s="527"/>
      <c r="J35" s="84">
        <f>ROUND(I35*H35,2)</f>
        <v>0</v>
      </c>
      <c r="K35" s="521"/>
      <c r="L35" s="533" t="s">
        <v>2474</v>
      </c>
      <c r="M35" s="530" t="s">
        <v>854</v>
      </c>
      <c r="N35" s="72" t="s">
        <v>860</v>
      </c>
      <c r="O35" s="73">
        <v>0.07</v>
      </c>
      <c r="P35" s="73">
        <f>O35*H35</f>
        <v>15.47</v>
      </c>
      <c r="Q35" s="73">
        <v>0</v>
      </c>
      <c r="R35" s="73">
        <f>Q35*H35</f>
        <v>0</v>
      </c>
      <c r="S35" s="73">
        <v>0</v>
      </c>
      <c r="T35" s="74">
        <f>S35*H35</f>
        <v>0</v>
      </c>
      <c r="AR35" s="75" t="s">
        <v>363</v>
      </c>
      <c r="AT35" s="75" t="s">
        <v>883</v>
      </c>
      <c r="AU35" s="75" t="s">
        <v>63</v>
      </c>
      <c r="AY35" s="47" t="s">
        <v>881</v>
      </c>
      <c r="BE35" s="76">
        <f>IF(N35="základní",J35,0)</f>
        <v>0</v>
      </c>
      <c r="BF35" s="76">
        <f>IF(N35="snížená",J35,0)</f>
        <v>0</v>
      </c>
      <c r="BG35" s="76">
        <f>IF(N35="zákl. přenesená",J35,0)</f>
        <v>0</v>
      </c>
      <c r="BH35" s="76">
        <f>IF(N35="sníž. přenesená",J35,0)</f>
        <v>0</v>
      </c>
      <c r="BI35" s="76">
        <f>IF(N35="nulová",J35,0)</f>
        <v>0</v>
      </c>
      <c r="BJ35" s="47" t="s">
        <v>51</v>
      </c>
      <c r="BK35" s="76">
        <f>ROUND(I35*H35,2)</f>
        <v>0</v>
      </c>
      <c r="BL35" s="47" t="s">
        <v>363</v>
      </c>
      <c r="BM35" s="75" t="s">
        <v>1667</v>
      </c>
    </row>
    <row r="36" spans="4:63" s="64" customFormat="1" ht="22.95" customHeight="1">
      <c r="D36" s="65" t="s">
        <v>877</v>
      </c>
      <c r="E36" s="205" t="s">
        <v>1697</v>
      </c>
      <c r="F36" s="205" t="s">
        <v>1457</v>
      </c>
      <c r="J36" s="206">
        <f>BK36</f>
        <v>0</v>
      </c>
      <c r="P36" s="67">
        <f>SUM(P37:P49)</f>
        <v>35.285000000000004</v>
      </c>
      <c r="R36" s="67">
        <f>SUM(R37:R49)</f>
        <v>0.13274999999999998</v>
      </c>
      <c r="T36" s="68">
        <f>SUM(T37:T49)</f>
        <v>0</v>
      </c>
      <c r="AR36" s="65" t="s">
        <v>67</v>
      </c>
      <c r="AT36" s="69" t="s">
        <v>877</v>
      </c>
      <c r="AU36" s="69" t="s">
        <v>51</v>
      </c>
      <c r="AY36" s="65" t="s">
        <v>881</v>
      </c>
      <c r="BK36" s="70">
        <f>SUM(BK37:BK49)</f>
        <v>0</v>
      </c>
    </row>
    <row r="37" spans="3:65" s="48" customFormat="1" ht="24.15" customHeight="1">
      <c r="C37" s="79" t="s">
        <v>49</v>
      </c>
      <c r="D37" s="79" t="s">
        <v>883</v>
      </c>
      <c r="E37" s="80" t="s">
        <v>1458</v>
      </c>
      <c r="F37" s="81" t="s">
        <v>1459</v>
      </c>
      <c r="G37" s="82" t="s">
        <v>260</v>
      </c>
      <c r="H37" s="83">
        <v>7</v>
      </c>
      <c r="I37" s="527"/>
      <c r="J37" s="84">
        <f aca="true" t="shared" si="0" ref="J37:J46">ROUND(I37*H37,2)</f>
        <v>0</v>
      </c>
      <c r="K37" s="521"/>
      <c r="L37" s="533" t="s">
        <v>2474</v>
      </c>
      <c r="M37" s="530" t="s">
        <v>854</v>
      </c>
      <c r="N37" s="72" t="s">
        <v>860</v>
      </c>
      <c r="O37" s="73">
        <v>0.718</v>
      </c>
      <c r="P37" s="73">
        <f aca="true" t="shared" si="1" ref="P37:P46">O37*H37</f>
        <v>5.026</v>
      </c>
      <c r="Q37" s="73">
        <v>0</v>
      </c>
      <c r="R37" s="73">
        <f aca="true" t="shared" si="2" ref="R37:R46">Q37*H37</f>
        <v>0</v>
      </c>
      <c r="S37" s="73">
        <v>0</v>
      </c>
      <c r="T37" s="74">
        <f aca="true" t="shared" si="3" ref="T37:T46">S37*H37</f>
        <v>0</v>
      </c>
      <c r="AR37" s="75" t="s">
        <v>363</v>
      </c>
      <c r="AT37" s="75" t="s">
        <v>883</v>
      </c>
      <c r="AU37" s="75" t="s">
        <v>63</v>
      </c>
      <c r="AY37" s="47" t="s">
        <v>881</v>
      </c>
      <c r="BE37" s="76">
        <f aca="true" t="shared" si="4" ref="BE37:BE46">IF(N37="základní",J37,0)</f>
        <v>0</v>
      </c>
      <c r="BF37" s="76">
        <f aca="true" t="shared" si="5" ref="BF37:BF46">IF(N37="snížená",J37,0)</f>
        <v>0</v>
      </c>
      <c r="BG37" s="76">
        <f aca="true" t="shared" si="6" ref="BG37:BG46">IF(N37="zákl. přenesená",J37,0)</f>
        <v>0</v>
      </c>
      <c r="BH37" s="76">
        <f aca="true" t="shared" si="7" ref="BH37:BH46">IF(N37="sníž. přenesená",J37,0)</f>
        <v>0</v>
      </c>
      <c r="BI37" s="76">
        <f aca="true" t="shared" si="8" ref="BI37:BI46">IF(N37="nulová",J37,0)</f>
        <v>0</v>
      </c>
      <c r="BJ37" s="47" t="s">
        <v>51</v>
      </c>
      <c r="BK37" s="76">
        <f aca="true" t="shared" si="9" ref="BK37:BK46">ROUND(I37*H37,2)</f>
        <v>0</v>
      </c>
      <c r="BL37" s="47" t="s">
        <v>363</v>
      </c>
      <c r="BM37" s="75" t="s">
        <v>1698</v>
      </c>
    </row>
    <row r="38" spans="3:65" s="48" customFormat="1" ht="24.15" customHeight="1">
      <c r="C38" s="85" t="s">
        <v>76</v>
      </c>
      <c r="D38" s="85" t="s">
        <v>201</v>
      </c>
      <c r="E38" s="86" t="s">
        <v>1789</v>
      </c>
      <c r="F38" s="87" t="s">
        <v>2490</v>
      </c>
      <c r="G38" s="88" t="s">
        <v>260</v>
      </c>
      <c r="H38" s="89">
        <v>5</v>
      </c>
      <c r="I38" s="528"/>
      <c r="J38" s="90">
        <f t="shared" si="0"/>
        <v>0</v>
      </c>
      <c r="K38" s="522"/>
      <c r="L38" s="533" t="s">
        <v>2130</v>
      </c>
      <c r="M38" s="531" t="s">
        <v>854</v>
      </c>
      <c r="N38" s="78" t="s">
        <v>860</v>
      </c>
      <c r="O38" s="73">
        <v>0</v>
      </c>
      <c r="P38" s="73">
        <f t="shared" si="1"/>
        <v>0</v>
      </c>
      <c r="Q38" s="73">
        <v>0.0075</v>
      </c>
      <c r="R38" s="73">
        <f t="shared" si="2"/>
        <v>0.0375</v>
      </c>
      <c r="S38" s="73">
        <v>0</v>
      </c>
      <c r="T38" s="74">
        <f t="shared" si="3"/>
        <v>0</v>
      </c>
      <c r="AR38" s="75" t="s">
        <v>1470</v>
      </c>
      <c r="AT38" s="75" t="s">
        <v>201</v>
      </c>
      <c r="AU38" s="75" t="s">
        <v>63</v>
      </c>
      <c r="AY38" s="47" t="s">
        <v>881</v>
      </c>
      <c r="BE38" s="76">
        <f t="shared" si="4"/>
        <v>0</v>
      </c>
      <c r="BF38" s="76">
        <f t="shared" si="5"/>
        <v>0</v>
      </c>
      <c r="BG38" s="76">
        <f t="shared" si="6"/>
        <v>0</v>
      </c>
      <c r="BH38" s="76">
        <f t="shared" si="7"/>
        <v>0</v>
      </c>
      <c r="BI38" s="76">
        <f t="shared" si="8"/>
        <v>0</v>
      </c>
      <c r="BJ38" s="47" t="s">
        <v>51</v>
      </c>
      <c r="BK38" s="76">
        <f t="shared" si="9"/>
        <v>0</v>
      </c>
      <c r="BL38" s="47" t="s">
        <v>1470</v>
      </c>
      <c r="BM38" s="75" t="s">
        <v>1790</v>
      </c>
    </row>
    <row r="39" spans="3:65" s="48" customFormat="1" ht="24.15" customHeight="1">
      <c r="C39" s="85" t="s">
        <v>75</v>
      </c>
      <c r="D39" s="85" t="s">
        <v>201</v>
      </c>
      <c r="E39" s="86" t="s">
        <v>1791</v>
      </c>
      <c r="F39" s="87" t="s">
        <v>2491</v>
      </c>
      <c r="G39" s="88" t="s">
        <v>260</v>
      </c>
      <c r="H39" s="89">
        <v>5</v>
      </c>
      <c r="I39" s="528"/>
      <c r="J39" s="90">
        <f t="shared" si="0"/>
        <v>0</v>
      </c>
      <c r="K39" s="522"/>
      <c r="L39" s="533" t="s">
        <v>2130</v>
      </c>
      <c r="M39" s="531" t="s">
        <v>854</v>
      </c>
      <c r="N39" s="78" t="s">
        <v>860</v>
      </c>
      <c r="O39" s="73">
        <v>0</v>
      </c>
      <c r="P39" s="73">
        <f t="shared" si="1"/>
        <v>0</v>
      </c>
      <c r="Q39" s="73">
        <v>0.0075</v>
      </c>
      <c r="R39" s="73">
        <f t="shared" si="2"/>
        <v>0.0375</v>
      </c>
      <c r="S39" s="73">
        <v>0</v>
      </c>
      <c r="T39" s="74">
        <f t="shared" si="3"/>
        <v>0</v>
      </c>
      <c r="AR39" s="75" t="s">
        <v>1470</v>
      </c>
      <c r="AT39" s="75" t="s">
        <v>201</v>
      </c>
      <c r="AU39" s="75" t="s">
        <v>63</v>
      </c>
      <c r="AY39" s="47" t="s">
        <v>881</v>
      </c>
      <c r="BE39" s="76">
        <f t="shared" si="4"/>
        <v>0</v>
      </c>
      <c r="BF39" s="76">
        <f t="shared" si="5"/>
        <v>0</v>
      </c>
      <c r="BG39" s="76">
        <f t="shared" si="6"/>
        <v>0</v>
      </c>
      <c r="BH39" s="76">
        <f t="shared" si="7"/>
        <v>0</v>
      </c>
      <c r="BI39" s="76">
        <f t="shared" si="8"/>
        <v>0</v>
      </c>
      <c r="BJ39" s="47" t="s">
        <v>51</v>
      </c>
      <c r="BK39" s="76">
        <f t="shared" si="9"/>
        <v>0</v>
      </c>
      <c r="BL39" s="47" t="s">
        <v>1470</v>
      </c>
      <c r="BM39" s="75" t="s">
        <v>1792</v>
      </c>
    </row>
    <row r="40" spans="3:65" s="48" customFormat="1" ht="16.5" customHeight="1">
      <c r="C40" s="85" t="s">
        <v>128</v>
      </c>
      <c r="D40" s="85" t="s">
        <v>201</v>
      </c>
      <c r="E40" s="86" t="s">
        <v>1709</v>
      </c>
      <c r="F40" s="87" t="s">
        <v>1710</v>
      </c>
      <c r="G40" s="88" t="s">
        <v>260</v>
      </c>
      <c r="H40" s="89">
        <v>7</v>
      </c>
      <c r="I40" s="528"/>
      <c r="J40" s="90">
        <f t="shared" si="0"/>
        <v>0</v>
      </c>
      <c r="K40" s="522"/>
      <c r="L40" s="533" t="s">
        <v>2130</v>
      </c>
      <c r="M40" s="531" t="s">
        <v>854</v>
      </c>
      <c r="N40" s="78" t="s">
        <v>860</v>
      </c>
      <c r="O40" s="73">
        <v>0</v>
      </c>
      <c r="P40" s="73">
        <f t="shared" si="1"/>
        <v>0</v>
      </c>
      <c r="Q40" s="73">
        <v>0.0075</v>
      </c>
      <c r="R40" s="73">
        <f t="shared" si="2"/>
        <v>0.0525</v>
      </c>
      <c r="S40" s="73">
        <v>0</v>
      </c>
      <c r="T40" s="74">
        <f t="shared" si="3"/>
        <v>0</v>
      </c>
      <c r="AR40" s="75" t="s">
        <v>1470</v>
      </c>
      <c r="AT40" s="75" t="s">
        <v>201</v>
      </c>
      <c r="AU40" s="75" t="s">
        <v>63</v>
      </c>
      <c r="AY40" s="47" t="s">
        <v>881</v>
      </c>
      <c r="BE40" s="76">
        <f t="shared" si="4"/>
        <v>0</v>
      </c>
      <c r="BF40" s="76">
        <f t="shared" si="5"/>
        <v>0</v>
      </c>
      <c r="BG40" s="76">
        <f t="shared" si="6"/>
        <v>0</v>
      </c>
      <c r="BH40" s="76">
        <f t="shared" si="7"/>
        <v>0</v>
      </c>
      <c r="BI40" s="76">
        <f t="shared" si="8"/>
        <v>0</v>
      </c>
      <c r="BJ40" s="47" t="s">
        <v>51</v>
      </c>
      <c r="BK40" s="76">
        <f t="shared" si="9"/>
        <v>0</v>
      </c>
      <c r="BL40" s="47" t="s">
        <v>1470</v>
      </c>
      <c r="BM40" s="75" t="s">
        <v>1793</v>
      </c>
    </row>
    <row r="41" spans="3:65" s="48" customFormat="1" ht="16.5" customHeight="1">
      <c r="C41" s="79" t="s">
        <v>66</v>
      </c>
      <c r="D41" s="79" t="s">
        <v>883</v>
      </c>
      <c r="E41" s="80" t="s">
        <v>1794</v>
      </c>
      <c r="F41" s="81" t="s">
        <v>1795</v>
      </c>
      <c r="G41" s="82" t="s">
        <v>260</v>
      </c>
      <c r="H41" s="83">
        <v>7</v>
      </c>
      <c r="I41" s="527"/>
      <c r="J41" s="84">
        <f t="shared" si="0"/>
        <v>0</v>
      </c>
      <c r="K41" s="521"/>
      <c r="L41" s="533" t="s">
        <v>2474</v>
      </c>
      <c r="M41" s="530" t="s">
        <v>854</v>
      </c>
      <c r="N41" s="72" t="s">
        <v>860</v>
      </c>
      <c r="O41" s="73">
        <v>1.683</v>
      </c>
      <c r="P41" s="73">
        <f t="shared" si="1"/>
        <v>11.781</v>
      </c>
      <c r="Q41" s="73">
        <v>0</v>
      </c>
      <c r="R41" s="73">
        <f t="shared" si="2"/>
        <v>0</v>
      </c>
      <c r="S41" s="73">
        <v>0</v>
      </c>
      <c r="T41" s="74">
        <f t="shared" si="3"/>
        <v>0</v>
      </c>
      <c r="AR41" s="75" t="s">
        <v>363</v>
      </c>
      <c r="AT41" s="75" t="s">
        <v>883</v>
      </c>
      <c r="AU41" s="75" t="s">
        <v>63</v>
      </c>
      <c r="AY41" s="47" t="s">
        <v>881</v>
      </c>
      <c r="BE41" s="76">
        <f t="shared" si="4"/>
        <v>0</v>
      </c>
      <c r="BF41" s="76">
        <f t="shared" si="5"/>
        <v>0</v>
      </c>
      <c r="BG41" s="76">
        <f t="shared" si="6"/>
        <v>0</v>
      </c>
      <c r="BH41" s="76">
        <f t="shared" si="7"/>
        <v>0</v>
      </c>
      <c r="BI41" s="76">
        <f t="shared" si="8"/>
        <v>0</v>
      </c>
      <c r="BJ41" s="47" t="s">
        <v>51</v>
      </c>
      <c r="BK41" s="76">
        <f t="shared" si="9"/>
        <v>0</v>
      </c>
      <c r="BL41" s="47" t="s">
        <v>363</v>
      </c>
      <c r="BM41" s="75" t="s">
        <v>1796</v>
      </c>
    </row>
    <row r="42" spans="3:65" s="48" customFormat="1" ht="15">
      <c r="C42" s="85" t="s">
        <v>92</v>
      </c>
      <c r="D42" s="85" t="s">
        <v>201</v>
      </c>
      <c r="E42" s="86" t="s">
        <v>1797</v>
      </c>
      <c r="F42" s="87" t="s">
        <v>1798</v>
      </c>
      <c r="G42" s="88" t="s">
        <v>1469</v>
      </c>
      <c r="H42" s="89">
        <v>7</v>
      </c>
      <c r="I42" s="528"/>
      <c r="J42" s="90">
        <f t="shared" si="0"/>
        <v>0</v>
      </c>
      <c r="K42" s="522"/>
      <c r="L42" s="533" t="s">
        <v>2130</v>
      </c>
      <c r="M42" s="531" t="s">
        <v>854</v>
      </c>
      <c r="N42" s="78" t="s">
        <v>860</v>
      </c>
      <c r="O42" s="73">
        <v>0</v>
      </c>
      <c r="P42" s="73">
        <f t="shared" si="1"/>
        <v>0</v>
      </c>
      <c r="Q42" s="73">
        <v>0</v>
      </c>
      <c r="R42" s="73">
        <f t="shared" si="2"/>
        <v>0</v>
      </c>
      <c r="S42" s="73">
        <v>0</v>
      </c>
      <c r="T42" s="74">
        <f t="shared" si="3"/>
        <v>0</v>
      </c>
      <c r="AR42" s="75" t="s">
        <v>1470</v>
      </c>
      <c r="AT42" s="75" t="s">
        <v>201</v>
      </c>
      <c r="AU42" s="75" t="s">
        <v>63</v>
      </c>
      <c r="AY42" s="47" t="s">
        <v>881</v>
      </c>
      <c r="BE42" s="76">
        <f t="shared" si="4"/>
        <v>0</v>
      </c>
      <c r="BF42" s="76">
        <f t="shared" si="5"/>
        <v>0</v>
      </c>
      <c r="BG42" s="76">
        <f t="shared" si="6"/>
        <v>0</v>
      </c>
      <c r="BH42" s="76">
        <f t="shared" si="7"/>
        <v>0</v>
      </c>
      <c r="BI42" s="76">
        <f t="shared" si="8"/>
        <v>0</v>
      </c>
      <c r="BJ42" s="47" t="s">
        <v>51</v>
      </c>
      <c r="BK42" s="76">
        <f t="shared" si="9"/>
        <v>0</v>
      </c>
      <c r="BL42" s="47" t="s">
        <v>1470</v>
      </c>
      <c r="BM42" s="75" t="s">
        <v>1799</v>
      </c>
    </row>
    <row r="43" spans="3:65" s="48" customFormat="1" ht="16.5" customHeight="1">
      <c r="C43" s="79" t="s">
        <v>102</v>
      </c>
      <c r="D43" s="79" t="s">
        <v>883</v>
      </c>
      <c r="E43" s="80" t="s">
        <v>1484</v>
      </c>
      <c r="F43" s="81" t="s">
        <v>1485</v>
      </c>
      <c r="G43" s="82" t="s">
        <v>260</v>
      </c>
      <c r="H43" s="83">
        <v>7</v>
      </c>
      <c r="I43" s="527"/>
      <c r="J43" s="84">
        <f t="shared" si="0"/>
        <v>0</v>
      </c>
      <c r="K43" s="521"/>
      <c r="L43" s="533" t="s">
        <v>2474</v>
      </c>
      <c r="M43" s="530" t="s">
        <v>854</v>
      </c>
      <c r="N43" s="72" t="s">
        <v>860</v>
      </c>
      <c r="O43" s="73">
        <v>1.367</v>
      </c>
      <c r="P43" s="73">
        <f t="shared" si="1"/>
        <v>9.568999999999999</v>
      </c>
      <c r="Q43" s="73">
        <v>0</v>
      </c>
      <c r="R43" s="73">
        <f t="shared" si="2"/>
        <v>0</v>
      </c>
      <c r="S43" s="73">
        <v>0</v>
      </c>
      <c r="T43" s="74">
        <f t="shared" si="3"/>
        <v>0</v>
      </c>
      <c r="AR43" s="75" t="s">
        <v>363</v>
      </c>
      <c r="AT43" s="75" t="s">
        <v>883</v>
      </c>
      <c r="AU43" s="75" t="s">
        <v>63</v>
      </c>
      <c r="AY43" s="47" t="s">
        <v>881</v>
      </c>
      <c r="BE43" s="76">
        <f t="shared" si="4"/>
        <v>0</v>
      </c>
      <c r="BF43" s="76">
        <f t="shared" si="5"/>
        <v>0</v>
      </c>
      <c r="BG43" s="76">
        <f t="shared" si="6"/>
        <v>0</v>
      </c>
      <c r="BH43" s="76">
        <f t="shared" si="7"/>
        <v>0</v>
      </c>
      <c r="BI43" s="76">
        <f t="shared" si="8"/>
        <v>0</v>
      </c>
      <c r="BJ43" s="47" t="s">
        <v>51</v>
      </c>
      <c r="BK43" s="76">
        <f t="shared" si="9"/>
        <v>0</v>
      </c>
      <c r="BL43" s="47" t="s">
        <v>363</v>
      </c>
      <c r="BM43" s="75" t="s">
        <v>1738</v>
      </c>
    </row>
    <row r="44" spans="3:65" s="48" customFormat="1" ht="24.15" customHeight="1">
      <c r="C44" s="85" t="s">
        <v>114</v>
      </c>
      <c r="D44" s="85" t="s">
        <v>201</v>
      </c>
      <c r="E44" s="86" t="s">
        <v>1487</v>
      </c>
      <c r="F44" s="87" t="s">
        <v>1488</v>
      </c>
      <c r="G44" s="88" t="s">
        <v>1469</v>
      </c>
      <c r="H44" s="89">
        <v>7</v>
      </c>
      <c r="I44" s="528"/>
      <c r="J44" s="90">
        <f t="shared" si="0"/>
        <v>0</v>
      </c>
      <c r="K44" s="522"/>
      <c r="L44" s="533" t="s">
        <v>2130</v>
      </c>
      <c r="M44" s="531" t="s">
        <v>854</v>
      </c>
      <c r="N44" s="78" t="s">
        <v>860</v>
      </c>
      <c r="O44" s="73">
        <v>0</v>
      </c>
      <c r="P44" s="73">
        <f t="shared" si="1"/>
        <v>0</v>
      </c>
      <c r="Q44" s="73">
        <v>0</v>
      </c>
      <c r="R44" s="73">
        <f t="shared" si="2"/>
        <v>0</v>
      </c>
      <c r="S44" s="73">
        <v>0</v>
      </c>
      <c r="T44" s="74">
        <f t="shared" si="3"/>
        <v>0</v>
      </c>
      <c r="AR44" s="75" t="s">
        <v>1444</v>
      </c>
      <c r="AT44" s="75" t="s">
        <v>201</v>
      </c>
      <c r="AU44" s="75" t="s">
        <v>63</v>
      </c>
      <c r="AY44" s="47" t="s">
        <v>881</v>
      </c>
      <c r="BE44" s="76">
        <f t="shared" si="4"/>
        <v>0</v>
      </c>
      <c r="BF44" s="76">
        <f t="shared" si="5"/>
        <v>0</v>
      </c>
      <c r="BG44" s="76">
        <f t="shared" si="6"/>
        <v>0</v>
      </c>
      <c r="BH44" s="76">
        <f t="shared" si="7"/>
        <v>0</v>
      </c>
      <c r="BI44" s="76">
        <f t="shared" si="8"/>
        <v>0</v>
      </c>
      <c r="BJ44" s="47" t="s">
        <v>51</v>
      </c>
      <c r="BK44" s="76">
        <f t="shared" si="9"/>
        <v>0</v>
      </c>
      <c r="BL44" s="47" t="s">
        <v>363</v>
      </c>
      <c r="BM44" s="75" t="s">
        <v>1739</v>
      </c>
    </row>
    <row r="45" spans="3:65" s="48" customFormat="1" ht="16.5" customHeight="1">
      <c r="C45" s="85" t="s">
        <v>121</v>
      </c>
      <c r="D45" s="85" t="s">
        <v>201</v>
      </c>
      <c r="E45" s="86" t="s">
        <v>1490</v>
      </c>
      <c r="F45" s="87" t="s">
        <v>1491</v>
      </c>
      <c r="G45" s="88" t="s">
        <v>260</v>
      </c>
      <c r="H45" s="89">
        <v>7</v>
      </c>
      <c r="I45" s="528"/>
      <c r="J45" s="90">
        <f t="shared" si="0"/>
        <v>0</v>
      </c>
      <c r="K45" s="522"/>
      <c r="L45" s="533" t="s">
        <v>2474</v>
      </c>
      <c r="M45" s="531" t="s">
        <v>854</v>
      </c>
      <c r="N45" s="78" t="s">
        <v>860</v>
      </c>
      <c r="O45" s="73">
        <v>0</v>
      </c>
      <c r="P45" s="73">
        <f t="shared" si="1"/>
        <v>0</v>
      </c>
      <c r="Q45" s="73">
        <v>3E-05</v>
      </c>
      <c r="R45" s="73">
        <f t="shared" si="2"/>
        <v>0.00021</v>
      </c>
      <c r="S45" s="73">
        <v>0</v>
      </c>
      <c r="T45" s="74">
        <f t="shared" si="3"/>
        <v>0</v>
      </c>
      <c r="AR45" s="75" t="s">
        <v>1444</v>
      </c>
      <c r="AT45" s="75" t="s">
        <v>201</v>
      </c>
      <c r="AU45" s="75" t="s">
        <v>63</v>
      </c>
      <c r="AY45" s="47" t="s">
        <v>881</v>
      </c>
      <c r="BE45" s="76">
        <f t="shared" si="4"/>
        <v>0</v>
      </c>
      <c r="BF45" s="76">
        <f t="shared" si="5"/>
        <v>0</v>
      </c>
      <c r="BG45" s="76">
        <f t="shared" si="6"/>
        <v>0</v>
      </c>
      <c r="BH45" s="76">
        <f t="shared" si="7"/>
        <v>0</v>
      </c>
      <c r="BI45" s="76">
        <f t="shared" si="8"/>
        <v>0</v>
      </c>
      <c r="BJ45" s="47" t="s">
        <v>51</v>
      </c>
      <c r="BK45" s="76">
        <f t="shared" si="9"/>
        <v>0</v>
      </c>
      <c r="BL45" s="47" t="s">
        <v>363</v>
      </c>
      <c r="BM45" s="75" t="s">
        <v>1740</v>
      </c>
    </row>
    <row r="46" spans="3:65" s="48" customFormat="1" ht="16.5" customHeight="1">
      <c r="C46" s="85" t="s">
        <v>157</v>
      </c>
      <c r="D46" s="85" t="s">
        <v>201</v>
      </c>
      <c r="E46" s="86" t="s">
        <v>1493</v>
      </c>
      <c r="F46" s="87" t="s">
        <v>1494</v>
      </c>
      <c r="G46" s="88" t="s">
        <v>74</v>
      </c>
      <c r="H46" s="89">
        <v>42</v>
      </c>
      <c r="I46" s="528"/>
      <c r="J46" s="90">
        <f t="shared" si="0"/>
        <v>0</v>
      </c>
      <c r="K46" s="522"/>
      <c r="L46" s="533" t="s">
        <v>2474</v>
      </c>
      <c r="M46" s="531" t="s">
        <v>854</v>
      </c>
      <c r="N46" s="78" t="s">
        <v>860</v>
      </c>
      <c r="O46" s="73">
        <v>0</v>
      </c>
      <c r="P46" s="73">
        <f t="shared" si="1"/>
        <v>0</v>
      </c>
      <c r="Q46" s="73">
        <v>0.00012</v>
      </c>
      <c r="R46" s="73">
        <f t="shared" si="2"/>
        <v>0.00504</v>
      </c>
      <c r="S46" s="73">
        <v>0</v>
      </c>
      <c r="T46" s="74">
        <f t="shared" si="3"/>
        <v>0</v>
      </c>
      <c r="AR46" s="75" t="s">
        <v>1444</v>
      </c>
      <c r="AT46" s="75" t="s">
        <v>201</v>
      </c>
      <c r="AU46" s="75" t="s">
        <v>63</v>
      </c>
      <c r="AY46" s="47" t="s">
        <v>881</v>
      </c>
      <c r="BE46" s="76">
        <f t="shared" si="4"/>
        <v>0</v>
      </c>
      <c r="BF46" s="76">
        <f t="shared" si="5"/>
        <v>0</v>
      </c>
      <c r="BG46" s="76">
        <f t="shared" si="6"/>
        <v>0</v>
      </c>
      <c r="BH46" s="76">
        <f t="shared" si="7"/>
        <v>0</v>
      </c>
      <c r="BI46" s="76">
        <f t="shared" si="8"/>
        <v>0</v>
      </c>
      <c r="BJ46" s="47" t="s">
        <v>51</v>
      </c>
      <c r="BK46" s="76">
        <f t="shared" si="9"/>
        <v>0</v>
      </c>
      <c r="BL46" s="47" t="s">
        <v>363</v>
      </c>
      <c r="BM46" s="75" t="s">
        <v>1741</v>
      </c>
    </row>
    <row r="47" spans="4:51" s="95" customFormat="1" ht="10.2">
      <c r="D47" s="207" t="s">
        <v>1418</v>
      </c>
      <c r="E47" s="96" t="s">
        <v>854</v>
      </c>
      <c r="F47" s="208" t="s">
        <v>1800</v>
      </c>
      <c r="H47" s="209">
        <v>42</v>
      </c>
      <c r="T47" s="97"/>
      <c r="AT47" s="96" t="s">
        <v>1418</v>
      </c>
      <c r="AU47" s="96" t="s">
        <v>63</v>
      </c>
      <c r="AV47" s="95" t="s">
        <v>63</v>
      </c>
      <c r="AW47" s="95" t="s">
        <v>1420</v>
      </c>
      <c r="AX47" s="95" t="s">
        <v>51</v>
      </c>
      <c r="AY47" s="96" t="s">
        <v>881</v>
      </c>
    </row>
    <row r="48" spans="3:65" s="48" customFormat="1" ht="21.75" customHeight="1">
      <c r="C48" s="79" t="s">
        <v>161</v>
      </c>
      <c r="D48" s="79" t="s">
        <v>883</v>
      </c>
      <c r="E48" s="80" t="s">
        <v>1497</v>
      </c>
      <c r="F48" s="81" t="s">
        <v>1498</v>
      </c>
      <c r="G48" s="82" t="s">
        <v>1499</v>
      </c>
      <c r="H48" s="83">
        <v>1</v>
      </c>
      <c r="I48" s="527"/>
      <c r="J48" s="84">
        <f>ROUND(I48*H48,2)</f>
        <v>0</v>
      </c>
      <c r="K48" s="521"/>
      <c r="L48" s="533" t="s">
        <v>2474</v>
      </c>
      <c r="M48" s="530" t="s">
        <v>854</v>
      </c>
      <c r="N48" s="72" t="s">
        <v>860</v>
      </c>
      <c r="O48" s="73">
        <v>8.727</v>
      </c>
      <c r="P48" s="73">
        <f>O48*H48</f>
        <v>8.727</v>
      </c>
      <c r="Q48" s="73">
        <v>0</v>
      </c>
      <c r="R48" s="73">
        <f>Q48*H48</f>
        <v>0</v>
      </c>
      <c r="S48" s="73">
        <v>0</v>
      </c>
      <c r="T48" s="74">
        <f>S48*H48</f>
        <v>0</v>
      </c>
      <c r="AR48" s="75" t="s">
        <v>363</v>
      </c>
      <c r="AT48" s="75" t="s">
        <v>883</v>
      </c>
      <c r="AU48" s="75" t="s">
        <v>63</v>
      </c>
      <c r="AY48" s="47" t="s">
        <v>881</v>
      </c>
      <c r="BE48" s="76">
        <f>IF(N48="základní",J48,0)</f>
        <v>0</v>
      </c>
      <c r="BF48" s="76">
        <f>IF(N48="snížená",J48,0)</f>
        <v>0</v>
      </c>
      <c r="BG48" s="76">
        <f>IF(N48="zákl. přenesená",J48,0)</f>
        <v>0</v>
      </c>
      <c r="BH48" s="76">
        <f>IF(N48="sníž. přenesená",J48,0)</f>
        <v>0</v>
      </c>
      <c r="BI48" s="76">
        <f>IF(N48="nulová",J48,0)</f>
        <v>0</v>
      </c>
      <c r="BJ48" s="47" t="s">
        <v>51</v>
      </c>
      <c r="BK48" s="76">
        <f>ROUND(I48*H48,2)</f>
        <v>0</v>
      </c>
      <c r="BL48" s="47" t="s">
        <v>363</v>
      </c>
      <c r="BM48" s="75" t="s">
        <v>1801</v>
      </c>
    </row>
    <row r="49" spans="3:65" s="48" customFormat="1" ht="21.75" customHeight="1">
      <c r="C49" s="79" t="s">
        <v>165</v>
      </c>
      <c r="D49" s="79" t="s">
        <v>883</v>
      </c>
      <c r="E49" s="80" t="s">
        <v>1501</v>
      </c>
      <c r="F49" s="81" t="s">
        <v>1502</v>
      </c>
      <c r="G49" s="82" t="s">
        <v>260</v>
      </c>
      <c r="H49" s="83">
        <v>7</v>
      </c>
      <c r="I49" s="527"/>
      <c r="J49" s="84">
        <f>ROUND(I49*H49,2)</f>
        <v>0</v>
      </c>
      <c r="K49" s="521"/>
      <c r="L49" s="533" t="s">
        <v>2130</v>
      </c>
      <c r="M49" s="530" t="s">
        <v>854</v>
      </c>
      <c r="N49" s="72" t="s">
        <v>860</v>
      </c>
      <c r="O49" s="73">
        <v>0.026</v>
      </c>
      <c r="P49" s="73">
        <f>O49*H49</f>
        <v>0.182</v>
      </c>
      <c r="Q49" s="73">
        <v>0</v>
      </c>
      <c r="R49" s="73">
        <f>Q49*H49</f>
        <v>0</v>
      </c>
      <c r="S49" s="73">
        <v>0</v>
      </c>
      <c r="T49" s="74">
        <f>S49*H49</f>
        <v>0</v>
      </c>
      <c r="AR49" s="75" t="s">
        <v>363</v>
      </c>
      <c r="AT49" s="75" t="s">
        <v>883</v>
      </c>
      <c r="AU49" s="75" t="s">
        <v>63</v>
      </c>
      <c r="AY49" s="47" t="s">
        <v>881</v>
      </c>
      <c r="BE49" s="76">
        <f>IF(N49="základní",J49,0)</f>
        <v>0</v>
      </c>
      <c r="BF49" s="76">
        <f>IF(N49="snížená",J49,0)</f>
        <v>0</v>
      </c>
      <c r="BG49" s="76">
        <f>IF(N49="zákl. přenesená",J49,0)</f>
        <v>0</v>
      </c>
      <c r="BH49" s="76">
        <f>IF(N49="sníž. přenesená",J49,0)</f>
        <v>0</v>
      </c>
      <c r="BI49" s="76">
        <f>IF(N49="nulová",J49,0)</f>
        <v>0</v>
      </c>
      <c r="BJ49" s="47" t="s">
        <v>51</v>
      </c>
      <c r="BK49" s="76">
        <f>ROUND(I49*H49,2)</f>
        <v>0</v>
      </c>
      <c r="BL49" s="47" t="s">
        <v>363</v>
      </c>
      <c r="BM49" s="75" t="s">
        <v>1753</v>
      </c>
    </row>
    <row r="50" spans="4:63" s="64" customFormat="1" ht="25.95" customHeight="1">
      <c r="D50" s="65" t="s">
        <v>877</v>
      </c>
      <c r="E50" s="203" t="s">
        <v>1504</v>
      </c>
      <c r="F50" s="203" t="s">
        <v>1505</v>
      </c>
      <c r="J50" s="204">
        <f>BK50</f>
        <v>0</v>
      </c>
      <c r="P50" s="67">
        <f>SUM(P51:P79)</f>
        <v>252.90762400000006</v>
      </c>
      <c r="R50" s="67">
        <f>SUM(R51:R79)</f>
        <v>19.718577819999993</v>
      </c>
      <c r="T50" s="68">
        <f>SUM(T51:T79)</f>
        <v>0</v>
      </c>
      <c r="AR50" s="65" t="s">
        <v>67</v>
      </c>
      <c r="AT50" s="69" t="s">
        <v>877</v>
      </c>
      <c r="AU50" s="69" t="s">
        <v>880</v>
      </c>
      <c r="AY50" s="65" t="s">
        <v>881</v>
      </c>
      <c r="BK50" s="70">
        <f>SUM(BK51:BK79)</f>
        <v>0</v>
      </c>
    </row>
    <row r="51" spans="3:65" s="48" customFormat="1" ht="24.15" customHeight="1">
      <c r="C51" s="79" t="s">
        <v>70</v>
      </c>
      <c r="D51" s="79" t="s">
        <v>883</v>
      </c>
      <c r="E51" s="80" t="s">
        <v>1506</v>
      </c>
      <c r="F51" s="81" t="s">
        <v>1507</v>
      </c>
      <c r="G51" s="82" t="s">
        <v>1508</v>
      </c>
      <c r="H51" s="83">
        <v>0.201</v>
      </c>
      <c r="I51" s="527"/>
      <c r="J51" s="84">
        <f>ROUND(I51*H51,2)</f>
        <v>0</v>
      </c>
      <c r="K51" s="521"/>
      <c r="L51" s="533" t="s">
        <v>2474</v>
      </c>
      <c r="M51" s="530" t="s">
        <v>854</v>
      </c>
      <c r="N51" s="72" t="s">
        <v>860</v>
      </c>
      <c r="O51" s="73">
        <v>4.1</v>
      </c>
      <c r="P51" s="73">
        <f>O51*H51</f>
        <v>0.8240999999999999</v>
      </c>
      <c r="Q51" s="73">
        <v>0.0088</v>
      </c>
      <c r="R51" s="73">
        <f>Q51*H51</f>
        <v>0.0017688000000000003</v>
      </c>
      <c r="S51" s="73">
        <v>0</v>
      </c>
      <c r="T51" s="74">
        <f>S51*H51</f>
        <v>0</v>
      </c>
      <c r="AR51" s="75" t="s">
        <v>363</v>
      </c>
      <c r="AT51" s="75" t="s">
        <v>883</v>
      </c>
      <c r="AU51" s="75" t="s">
        <v>51</v>
      </c>
      <c r="AY51" s="47" t="s">
        <v>881</v>
      </c>
      <c r="BE51" s="76">
        <f>IF(N51="základní",J51,0)</f>
        <v>0</v>
      </c>
      <c r="BF51" s="76">
        <f>IF(N51="snížená",J51,0)</f>
        <v>0</v>
      </c>
      <c r="BG51" s="76">
        <f>IF(N51="zákl. přenesená",J51,0)</f>
        <v>0</v>
      </c>
      <c r="BH51" s="76">
        <f>IF(N51="sníž. přenesená",J51,0)</f>
        <v>0</v>
      </c>
      <c r="BI51" s="76">
        <f>IF(N51="nulová",J51,0)</f>
        <v>0</v>
      </c>
      <c r="BJ51" s="47" t="s">
        <v>51</v>
      </c>
      <c r="BK51" s="76">
        <f>ROUND(I51*H51,2)</f>
        <v>0</v>
      </c>
      <c r="BL51" s="47" t="s">
        <v>363</v>
      </c>
      <c r="BM51" s="75" t="s">
        <v>1754</v>
      </c>
    </row>
    <row r="52" spans="3:65" s="48" customFormat="1" ht="24.15" customHeight="1">
      <c r="C52" s="79" t="s">
        <v>172</v>
      </c>
      <c r="D52" s="79" t="s">
        <v>883</v>
      </c>
      <c r="E52" s="80" t="s">
        <v>1510</v>
      </c>
      <c r="F52" s="81" t="s">
        <v>1511</v>
      </c>
      <c r="G52" s="82" t="s">
        <v>1508</v>
      </c>
      <c r="H52" s="83">
        <v>0.201</v>
      </c>
      <c r="I52" s="527"/>
      <c r="J52" s="84">
        <f>ROUND(I52*H52,2)</f>
        <v>0</v>
      </c>
      <c r="K52" s="521"/>
      <c r="L52" s="533" t="s">
        <v>2474</v>
      </c>
      <c r="M52" s="530" t="s">
        <v>854</v>
      </c>
      <c r="N52" s="72" t="s">
        <v>860</v>
      </c>
      <c r="O52" s="73">
        <v>4.696</v>
      </c>
      <c r="P52" s="73">
        <f>O52*H52</f>
        <v>0.943896</v>
      </c>
      <c r="Q52" s="73">
        <v>0.0099</v>
      </c>
      <c r="R52" s="73">
        <f>Q52*H52</f>
        <v>0.0019899</v>
      </c>
      <c r="S52" s="73">
        <v>0</v>
      </c>
      <c r="T52" s="74">
        <f>S52*H52</f>
        <v>0</v>
      </c>
      <c r="AR52" s="75" t="s">
        <v>363</v>
      </c>
      <c r="AT52" s="75" t="s">
        <v>883</v>
      </c>
      <c r="AU52" s="75" t="s">
        <v>51</v>
      </c>
      <c r="AY52" s="47" t="s">
        <v>881</v>
      </c>
      <c r="BE52" s="76">
        <f>IF(N52="základní",J52,0)</f>
        <v>0</v>
      </c>
      <c r="BF52" s="76">
        <f>IF(N52="snížená",J52,0)</f>
        <v>0</v>
      </c>
      <c r="BG52" s="76">
        <f>IF(N52="zákl. přenesená",J52,0)</f>
        <v>0</v>
      </c>
      <c r="BH52" s="76">
        <f>IF(N52="sníž. přenesená",J52,0)</f>
        <v>0</v>
      </c>
      <c r="BI52" s="76">
        <f>IF(N52="nulová",J52,0)</f>
        <v>0</v>
      </c>
      <c r="BJ52" s="47" t="s">
        <v>51</v>
      </c>
      <c r="BK52" s="76">
        <f>ROUND(I52*H52,2)</f>
        <v>0</v>
      </c>
      <c r="BL52" s="47" t="s">
        <v>363</v>
      </c>
      <c r="BM52" s="75" t="s">
        <v>1755</v>
      </c>
    </row>
    <row r="53" spans="3:65" s="48" customFormat="1" ht="24.15" customHeight="1">
      <c r="C53" s="79" t="s">
        <v>177</v>
      </c>
      <c r="D53" s="79" t="s">
        <v>883</v>
      </c>
      <c r="E53" s="80" t="s">
        <v>1513</v>
      </c>
      <c r="F53" s="81" t="s">
        <v>1514</v>
      </c>
      <c r="G53" s="82" t="s">
        <v>260</v>
      </c>
      <c r="H53" s="83">
        <v>7</v>
      </c>
      <c r="I53" s="527"/>
      <c r="J53" s="84">
        <f>ROUND(I53*H53,2)</f>
        <v>0</v>
      </c>
      <c r="K53" s="521"/>
      <c r="L53" s="533" t="s">
        <v>2474</v>
      </c>
      <c r="M53" s="530" t="s">
        <v>854</v>
      </c>
      <c r="N53" s="72" t="s">
        <v>860</v>
      </c>
      <c r="O53" s="73">
        <v>3.214</v>
      </c>
      <c r="P53" s="73">
        <f>O53*H53</f>
        <v>22.498</v>
      </c>
      <c r="Q53" s="73">
        <v>0</v>
      </c>
      <c r="R53" s="73">
        <f>Q53*H53</f>
        <v>0</v>
      </c>
      <c r="S53" s="73">
        <v>0</v>
      </c>
      <c r="T53" s="74">
        <f>S53*H53</f>
        <v>0</v>
      </c>
      <c r="AR53" s="75" t="s">
        <v>363</v>
      </c>
      <c r="AT53" s="75" t="s">
        <v>883</v>
      </c>
      <c r="AU53" s="75" t="s">
        <v>51</v>
      </c>
      <c r="AY53" s="47" t="s">
        <v>881</v>
      </c>
      <c r="BE53" s="76">
        <f>IF(N53="základní",J53,0)</f>
        <v>0</v>
      </c>
      <c r="BF53" s="76">
        <f>IF(N53="snížená",J53,0)</f>
        <v>0</v>
      </c>
      <c r="BG53" s="76">
        <f>IF(N53="zákl. přenesená",J53,0)</f>
        <v>0</v>
      </c>
      <c r="BH53" s="76">
        <f>IF(N53="sníž. přenesená",J53,0)</f>
        <v>0</v>
      </c>
      <c r="BI53" s="76">
        <f>IF(N53="nulová",J53,0)</f>
        <v>0</v>
      </c>
      <c r="BJ53" s="47" t="s">
        <v>51</v>
      </c>
      <c r="BK53" s="76">
        <f>ROUND(I53*H53,2)</f>
        <v>0</v>
      </c>
      <c r="BL53" s="47" t="s">
        <v>363</v>
      </c>
      <c r="BM53" s="75" t="s">
        <v>1756</v>
      </c>
    </row>
    <row r="54" spans="3:65" s="48" customFormat="1" ht="24.15" customHeight="1">
      <c r="C54" s="79" t="s">
        <v>181</v>
      </c>
      <c r="D54" s="79" t="s">
        <v>883</v>
      </c>
      <c r="E54" s="80" t="s">
        <v>1517</v>
      </c>
      <c r="F54" s="81" t="s">
        <v>1518</v>
      </c>
      <c r="G54" s="82" t="s">
        <v>81</v>
      </c>
      <c r="H54" s="83">
        <v>2.268</v>
      </c>
      <c r="I54" s="527"/>
      <c r="J54" s="84">
        <f>ROUND(I54*H54,2)</f>
        <v>0</v>
      </c>
      <c r="K54" s="521"/>
      <c r="L54" s="533" t="s">
        <v>2474</v>
      </c>
      <c r="M54" s="530" t="s">
        <v>854</v>
      </c>
      <c r="N54" s="72" t="s">
        <v>860</v>
      </c>
      <c r="O54" s="73">
        <v>0.477</v>
      </c>
      <c r="P54" s="73">
        <f>O54*H54</f>
        <v>1.0818359999999998</v>
      </c>
      <c r="Q54" s="73">
        <v>2.25634</v>
      </c>
      <c r="R54" s="73">
        <f>Q54*H54</f>
        <v>5.117379119999999</v>
      </c>
      <c r="S54" s="73">
        <v>0</v>
      </c>
      <c r="T54" s="74">
        <f>S54*H54</f>
        <v>0</v>
      </c>
      <c r="AR54" s="75" t="s">
        <v>363</v>
      </c>
      <c r="AT54" s="75" t="s">
        <v>883</v>
      </c>
      <c r="AU54" s="75" t="s">
        <v>51</v>
      </c>
      <c r="AY54" s="47" t="s">
        <v>881</v>
      </c>
      <c r="BE54" s="76">
        <f>IF(N54="základní",J54,0)</f>
        <v>0</v>
      </c>
      <c r="BF54" s="76">
        <f>IF(N54="snížená",J54,0)</f>
        <v>0</v>
      </c>
      <c r="BG54" s="76">
        <f>IF(N54="zákl. přenesená",J54,0)</f>
        <v>0</v>
      </c>
      <c r="BH54" s="76">
        <f>IF(N54="sníž. přenesená",J54,0)</f>
        <v>0</v>
      </c>
      <c r="BI54" s="76">
        <f>IF(N54="nulová",J54,0)</f>
        <v>0</v>
      </c>
      <c r="BJ54" s="47" t="s">
        <v>51</v>
      </c>
      <c r="BK54" s="76">
        <f>ROUND(I54*H54,2)</f>
        <v>0</v>
      </c>
      <c r="BL54" s="47" t="s">
        <v>363</v>
      </c>
      <c r="BM54" s="75" t="s">
        <v>1757</v>
      </c>
    </row>
    <row r="55" spans="4:51" s="95" customFormat="1" ht="10.2">
      <c r="D55" s="207" t="s">
        <v>1418</v>
      </c>
      <c r="E55" s="96" t="s">
        <v>854</v>
      </c>
      <c r="F55" s="208" t="s">
        <v>1802</v>
      </c>
      <c r="H55" s="209">
        <v>2.268</v>
      </c>
      <c r="T55" s="97"/>
      <c r="AT55" s="96" t="s">
        <v>1418</v>
      </c>
      <c r="AU55" s="96" t="s">
        <v>51</v>
      </c>
      <c r="AV55" s="95" t="s">
        <v>63</v>
      </c>
      <c r="AW55" s="95" t="s">
        <v>1420</v>
      </c>
      <c r="AX55" s="95" t="s">
        <v>880</v>
      </c>
      <c r="AY55" s="96" t="s">
        <v>881</v>
      </c>
    </row>
    <row r="56" spans="3:65" s="48" customFormat="1" ht="24.15" customHeight="1">
      <c r="C56" s="79" t="s">
        <v>187</v>
      </c>
      <c r="D56" s="79" t="s">
        <v>883</v>
      </c>
      <c r="E56" s="80" t="s">
        <v>1525</v>
      </c>
      <c r="F56" s="81" t="s">
        <v>1526</v>
      </c>
      <c r="G56" s="82" t="s">
        <v>74</v>
      </c>
      <c r="H56" s="83">
        <v>147</v>
      </c>
      <c r="I56" s="527"/>
      <c r="J56" s="84">
        <f aca="true" t="shared" si="10" ref="J56:J71">ROUND(I56*H56,2)</f>
        <v>0</v>
      </c>
      <c r="K56" s="521"/>
      <c r="L56" s="533" t="s">
        <v>2474</v>
      </c>
      <c r="M56" s="530" t="s">
        <v>854</v>
      </c>
      <c r="N56" s="72" t="s">
        <v>860</v>
      </c>
      <c r="O56" s="73">
        <v>0.887</v>
      </c>
      <c r="P56" s="73">
        <f aca="true" t="shared" si="11" ref="P56:P71">O56*H56</f>
        <v>130.389</v>
      </c>
      <c r="Q56" s="73">
        <v>0</v>
      </c>
      <c r="R56" s="73">
        <f aca="true" t="shared" si="12" ref="R56:R71">Q56*H56</f>
        <v>0</v>
      </c>
      <c r="S56" s="73">
        <v>0</v>
      </c>
      <c r="T56" s="74">
        <f aca="true" t="shared" si="13" ref="T56:T71">S56*H56</f>
        <v>0</v>
      </c>
      <c r="AR56" s="75" t="s">
        <v>363</v>
      </c>
      <c r="AT56" s="75" t="s">
        <v>883</v>
      </c>
      <c r="AU56" s="75" t="s">
        <v>51</v>
      </c>
      <c r="AY56" s="47" t="s">
        <v>881</v>
      </c>
      <c r="BE56" s="76">
        <f aca="true" t="shared" si="14" ref="BE56:BE71">IF(N56="základní",J56,0)</f>
        <v>0</v>
      </c>
      <c r="BF56" s="76">
        <f aca="true" t="shared" si="15" ref="BF56:BF71">IF(N56="snížená",J56,0)</f>
        <v>0</v>
      </c>
      <c r="BG56" s="76">
        <f aca="true" t="shared" si="16" ref="BG56:BG71">IF(N56="zákl. přenesená",J56,0)</f>
        <v>0</v>
      </c>
      <c r="BH56" s="76">
        <f aca="true" t="shared" si="17" ref="BH56:BH71">IF(N56="sníž. přenesená",J56,0)</f>
        <v>0</v>
      </c>
      <c r="BI56" s="76">
        <f aca="true" t="shared" si="18" ref="BI56:BI71">IF(N56="nulová",J56,0)</f>
        <v>0</v>
      </c>
      <c r="BJ56" s="47" t="s">
        <v>51</v>
      </c>
      <c r="BK56" s="76">
        <f aca="true" t="shared" si="19" ref="BK56:BK71">ROUND(I56*H56,2)</f>
        <v>0</v>
      </c>
      <c r="BL56" s="47" t="s">
        <v>363</v>
      </c>
      <c r="BM56" s="75" t="s">
        <v>1759</v>
      </c>
    </row>
    <row r="57" spans="3:65" s="48" customFormat="1" ht="24.15" customHeight="1">
      <c r="C57" s="79" t="s">
        <v>198</v>
      </c>
      <c r="D57" s="79" t="s">
        <v>883</v>
      </c>
      <c r="E57" s="80" t="s">
        <v>1528</v>
      </c>
      <c r="F57" s="81" t="s">
        <v>1529</v>
      </c>
      <c r="G57" s="82" t="s">
        <v>74</v>
      </c>
      <c r="H57" s="83">
        <v>40</v>
      </c>
      <c r="I57" s="527"/>
      <c r="J57" s="84">
        <f t="shared" si="10"/>
        <v>0</v>
      </c>
      <c r="K57" s="521"/>
      <c r="L57" s="533" t="s">
        <v>2474</v>
      </c>
      <c r="M57" s="530" t="s">
        <v>854</v>
      </c>
      <c r="N57" s="72" t="s">
        <v>860</v>
      </c>
      <c r="O57" s="73">
        <v>0.408</v>
      </c>
      <c r="P57" s="73">
        <f t="shared" si="11"/>
        <v>16.32</v>
      </c>
      <c r="Q57" s="73">
        <v>0</v>
      </c>
      <c r="R57" s="73">
        <f t="shared" si="12"/>
        <v>0</v>
      </c>
      <c r="S57" s="73">
        <v>0</v>
      </c>
      <c r="T57" s="74">
        <f t="shared" si="13"/>
        <v>0</v>
      </c>
      <c r="AR57" s="75" t="s">
        <v>363</v>
      </c>
      <c r="AT57" s="75" t="s">
        <v>883</v>
      </c>
      <c r="AU57" s="75" t="s">
        <v>51</v>
      </c>
      <c r="AY57" s="47" t="s">
        <v>881</v>
      </c>
      <c r="BE57" s="76">
        <f t="shared" si="14"/>
        <v>0</v>
      </c>
      <c r="BF57" s="76">
        <f t="shared" si="15"/>
        <v>0</v>
      </c>
      <c r="BG57" s="76">
        <f t="shared" si="16"/>
        <v>0</v>
      </c>
      <c r="BH57" s="76">
        <f t="shared" si="17"/>
        <v>0</v>
      </c>
      <c r="BI57" s="76">
        <f t="shared" si="18"/>
        <v>0</v>
      </c>
      <c r="BJ57" s="47" t="s">
        <v>51</v>
      </c>
      <c r="BK57" s="76">
        <f t="shared" si="19"/>
        <v>0</v>
      </c>
      <c r="BL57" s="47" t="s">
        <v>363</v>
      </c>
      <c r="BM57" s="75" t="s">
        <v>1760</v>
      </c>
    </row>
    <row r="58" spans="3:65" s="48" customFormat="1" ht="24.15" customHeight="1">
      <c r="C58" s="79" t="s">
        <v>206</v>
      </c>
      <c r="D58" s="79" t="s">
        <v>883</v>
      </c>
      <c r="E58" s="80" t="s">
        <v>1531</v>
      </c>
      <c r="F58" s="81" t="s">
        <v>1532</v>
      </c>
      <c r="G58" s="82" t="s">
        <v>74</v>
      </c>
      <c r="H58" s="83">
        <v>14</v>
      </c>
      <c r="I58" s="527"/>
      <c r="J58" s="84">
        <f t="shared" si="10"/>
        <v>0</v>
      </c>
      <c r="K58" s="521"/>
      <c r="L58" s="533" t="s">
        <v>2474</v>
      </c>
      <c r="M58" s="530" t="s">
        <v>854</v>
      </c>
      <c r="N58" s="72" t="s">
        <v>860</v>
      </c>
      <c r="O58" s="73">
        <v>0.875</v>
      </c>
      <c r="P58" s="73">
        <f t="shared" si="11"/>
        <v>12.25</v>
      </c>
      <c r="Q58" s="73">
        <v>0</v>
      </c>
      <c r="R58" s="73">
        <f t="shared" si="12"/>
        <v>0</v>
      </c>
      <c r="S58" s="73">
        <v>0</v>
      </c>
      <c r="T58" s="74">
        <f t="shared" si="13"/>
        <v>0</v>
      </c>
      <c r="AR58" s="75" t="s">
        <v>363</v>
      </c>
      <c r="AT58" s="75" t="s">
        <v>883</v>
      </c>
      <c r="AU58" s="75" t="s">
        <v>51</v>
      </c>
      <c r="AY58" s="47" t="s">
        <v>881</v>
      </c>
      <c r="BE58" s="76">
        <f t="shared" si="14"/>
        <v>0</v>
      </c>
      <c r="BF58" s="76">
        <f t="shared" si="15"/>
        <v>0</v>
      </c>
      <c r="BG58" s="76">
        <f t="shared" si="16"/>
        <v>0</v>
      </c>
      <c r="BH58" s="76">
        <f t="shared" si="17"/>
        <v>0</v>
      </c>
      <c r="BI58" s="76">
        <f t="shared" si="18"/>
        <v>0</v>
      </c>
      <c r="BJ58" s="47" t="s">
        <v>51</v>
      </c>
      <c r="BK58" s="76">
        <f t="shared" si="19"/>
        <v>0</v>
      </c>
      <c r="BL58" s="47" t="s">
        <v>363</v>
      </c>
      <c r="BM58" s="75" t="s">
        <v>1761</v>
      </c>
    </row>
    <row r="59" spans="3:65" s="48" customFormat="1" ht="24.15" customHeight="1">
      <c r="C59" s="79" t="s">
        <v>211</v>
      </c>
      <c r="D59" s="79" t="s">
        <v>883</v>
      </c>
      <c r="E59" s="80" t="s">
        <v>1534</v>
      </c>
      <c r="F59" s="81" t="s">
        <v>1535</v>
      </c>
      <c r="G59" s="82" t="s">
        <v>81</v>
      </c>
      <c r="H59" s="83">
        <v>2</v>
      </c>
      <c r="I59" s="527"/>
      <c r="J59" s="84">
        <f t="shared" si="10"/>
        <v>0</v>
      </c>
      <c r="K59" s="521"/>
      <c r="L59" s="533" t="s">
        <v>2474</v>
      </c>
      <c r="M59" s="530" t="s">
        <v>854</v>
      </c>
      <c r="N59" s="72" t="s">
        <v>860</v>
      </c>
      <c r="O59" s="73">
        <v>1.2</v>
      </c>
      <c r="P59" s="73">
        <f t="shared" si="11"/>
        <v>2.4</v>
      </c>
      <c r="Q59" s="73">
        <v>0</v>
      </c>
      <c r="R59" s="73">
        <f t="shared" si="12"/>
        <v>0</v>
      </c>
      <c r="S59" s="73">
        <v>0</v>
      </c>
      <c r="T59" s="74">
        <f t="shared" si="13"/>
        <v>0</v>
      </c>
      <c r="AR59" s="75" t="s">
        <v>363</v>
      </c>
      <c r="AT59" s="75" t="s">
        <v>883</v>
      </c>
      <c r="AU59" s="75" t="s">
        <v>51</v>
      </c>
      <c r="AY59" s="47" t="s">
        <v>881</v>
      </c>
      <c r="BE59" s="76">
        <f t="shared" si="14"/>
        <v>0</v>
      </c>
      <c r="BF59" s="76">
        <f t="shared" si="15"/>
        <v>0</v>
      </c>
      <c r="BG59" s="76">
        <f t="shared" si="16"/>
        <v>0</v>
      </c>
      <c r="BH59" s="76">
        <f t="shared" si="17"/>
        <v>0</v>
      </c>
      <c r="BI59" s="76">
        <f t="shared" si="18"/>
        <v>0</v>
      </c>
      <c r="BJ59" s="47" t="s">
        <v>51</v>
      </c>
      <c r="BK59" s="76">
        <f t="shared" si="19"/>
        <v>0</v>
      </c>
      <c r="BL59" s="47" t="s">
        <v>363</v>
      </c>
      <c r="BM59" s="75" t="s">
        <v>1762</v>
      </c>
    </row>
    <row r="60" spans="3:65" s="48" customFormat="1" ht="33" customHeight="1">
      <c r="C60" s="79" t="s">
        <v>108</v>
      </c>
      <c r="D60" s="79" t="s">
        <v>883</v>
      </c>
      <c r="E60" s="80" t="s">
        <v>1537</v>
      </c>
      <c r="F60" s="81" t="s">
        <v>1538</v>
      </c>
      <c r="G60" s="82" t="s">
        <v>74</v>
      </c>
      <c r="H60" s="83">
        <v>187</v>
      </c>
      <c r="I60" s="527"/>
      <c r="J60" s="84">
        <f t="shared" si="10"/>
        <v>0</v>
      </c>
      <c r="K60" s="521"/>
      <c r="L60" s="533" t="s">
        <v>2474</v>
      </c>
      <c r="M60" s="530" t="s">
        <v>854</v>
      </c>
      <c r="N60" s="72" t="s">
        <v>860</v>
      </c>
      <c r="O60" s="73">
        <v>0.073</v>
      </c>
      <c r="P60" s="73">
        <f t="shared" si="11"/>
        <v>13.651</v>
      </c>
      <c r="Q60" s="73">
        <v>0.05264</v>
      </c>
      <c r="R60" s="73">
        <f t="shared" si="12"/>
        <v>9.843679999999999</v>
      </c>
      <c r="S60" s="73">
        <v>0</v>
      </c>
      <c r="T60" s="74">
        <f t="shared" si="13"/>
        <v>0</v>
      </c>
      <c r="AR60" s="75" t="s">
        <v>363</v>
      </c>
      <c r="AT60" s="75" t="s">
        <v>883</v>
      </c>
      <c r="AU60" s="75" t="s">
        <v>51</v>
      </c>
      <c r="AY60" s="47" t="s">
        <v>881</v>
      </c>
      <c r="BE60" s="76">
        <f t="shared" si="14"/>
        <v>0</v>
      </c>
      <c r="BF60" s="76">
        <f t="shared" si="15"/>
        <v>0</v>
      </c>
      <c r="BG60" s="76">
        <f t="shared" si="16"/>
        <v>0</v>
      </c>
      <c r="BH60" s="76">
        <f t="shared" si="17"/>
        <v>0</v>
      </c>
      <c r="BI60" s="76">
        <f t="shared" si="18"/>
        <v>0</v>
      </c>
      <c r="BJ60" s="47" t="s">
        <v>51</v>
      </c>
      <c r="BK60" s="76">
        <f t="shared" si="19"/>
        <v>0</v>
      </c>
      <c r="BL60" s="47" t="s">
        <v>363</v>
      </c>
      <c r="BM60" s="75" t="s">
        <v>1763</v>
      </c>
    </row>
    <row r="61" spans="3:65" s="48" customFormat="1" ht="16.5" customHeight="1">
      <c r="C61" s="79" t="s">
        <v>221</v>
      </c>
      <c r="D61" s="79" t="s">
        <v>883</v>
      </c>
      <c r="E61" s="80" t="s">
        <v>1540</v>
      </c>
      <c r="F61" s="81" t="s">
        <v>1541</v>
      </c>
      <c r="G61" s="82" t="s">
        <v>74</v>
      </c>
      <c r="H61" s="83">
        <v>14</v>
      </c>
      <c r="I61" s="527"/>
      <c r="J61" s="84">
        <f t="shared" si="10"/>
        <v>0</v>
      </c>
      <c r="K61" s="521"/>
      <c r="L61" s="533" t="s">
        <v>2130</v>
      </c>
      <c r="M61" s="530" t="s">
        <v>854</v>
      </c>
      <c r="N61" s="72" t="s">
        <v>860</v>
      </c>
      <c r="O61" s="73">
        <v>0.073</v>
      </c>
      <c r="P61" s="73">
        <f t="shared" si="11"/>
        <v>1.022</v>
      </c>
      <c r="Q61" s="73">
        <v>0.05264</v>
      </c>
      <c r="R61" s="73">
        <f t="shared" si="12"/>
        <v>0.73696</v>
      </c>
      <c r="S61" s="73">
        <v>0</v>
      </c>
      <c r="T61" s="74">
        <f t="shared" si="13"/>
        <v>0</v>
      </c>
      <c r="AR61" s="75" t="s">
        <v>363</v>
      </c>
      <c r="AT61" s="75" t="s">
        <v>883</v>
      </c>
      <c r="AU61" s="75" t="s">
        <v>51</v>
      </c>
      <c r="AY61" s="47" t="s">
        <v>881</v>
      </c>
      <c r="BE61" s="76">
        <f t="shared" si="14"/>
        <v>0</v>
      </c>
      <c r="BF61" s="76">
        <f t="shared" si="15"/>
        <v>0</v>
      </c>
      <c r="BG61" s="76">
        <f t="shared" si="16"/>
        <v>0</v>
      </c>
      <c r="BH61" s="76">
        <f t="shared" si="17"/>
        <v>0</v>
      </c>
      <c r="BI61" s="76">
        <f t="shared" si="18"/>
        <v>0</v>
      </c>
      <c r="BJ61" s="47" t="s">
        <v>51</v>
      </c>
      <c r="BK61" s="76">
        <f t="shared" si="19"/>
        <v>0</v>
      </c>
      <c r="BL61" s="47" t="s">
        <v>363</v>
      </c>
      <c r="BM61" s="75" t="s">
        <v>1764</v>
      </c>
    </row>
    <row r="62" spans="3:65" s="48" customFormat="1" ht="24.15" customHeight="1">
      <c r="C62" s="79" t="s">
        <v>226</v>
      </c>
      <c r="D62" s="79" t="s">
        <v>883</v>
      </c>
      <c r="E62" s="80" t="s">
        <v>1543</v>
      </c>
      <c r="F62" s="81" t="s">
        <v>1544</v>
      </c>
      <c r="G62" s="82" t="s">
        <v>74</v>
      </c>
      <c r="H62" s="83">
        <v>14</v>
      </c>
      <c r="I62" s="527"/>
      <c r="J62" s="84">
        <f t="shared" si="10"/>
        <v>0</v>
      </c>
      <c r="K62" s="521"/>
      <c r="L62" s="533" t="s">
        <v>2474</v>
      </c>
      <c r="M62" s="530" t="s">
        <v>854</v>
      </c>
      <c r="N62" s="72" t="s">
        <v>860</v>
      </c>
      <c r="O62" s="73">
        <v>0.111</v>
      </c>
      <c r="P62" s="73">
        <f t="shared" si="11"/>
        <v>1.554</v>
      </c>
      <c r="Q62" s="73">
        <v>0.203</v>
      </c>
      <c r="R62" s="73">
        <f t="shared" si="12"/>
        <v>2.842</v>
      </c>
      <c r="S62" s="73">
        <v>0</v>
      </c>
      <c r="T62" s="74">
        <f t="shared" si="13"/>
        <v>0</v>
      </c>
      <c r="AR62" s="75" t="s">
        <v>363</v>
      </c>
      <c r="AT62" s="75" t="s">
        <v>883</v>
      </c>
      <c r="AU62" s="75" t="s">
        <v>51</v>
      </c>
      <c r="AY62" s="47" t="s">
        <v>881</v>
      </c>
      <c r="BE62" s="76">
        <f t="shared" si="14"/>
        <v>0</v>
      </c>
      <c r="BF62" s="76">
        <f t="shared" si="15"/>
        <v>0</v>
      </c>
      <c r="BG62" s="76">
        <f t="shared" si="16"/>
        <v>0</v>
      </c>
      <c r="BH62" s="76">
        <f t="shared" si="17"/>
        <v>0</v>
      </c>
      <c r="BI62" s="76">
        <f t="shared" si="18"/>
        <v>0</v>
      </c>
      <c r="BJ62" s="47" t="s">
        <v>51</v>
      </c>
      <c r="BK62" s="76">
        <f t="shared" si="19"/>
        <v>0</v>
      </c>
      <c r="BL62" s="47" t="s">
        <v>363</v>
      </c>
      <c r="BM62" s="75" t="s">
        <v>1765</v>
      </c>
    </row>
    <row r="63" spans="3:65" s="48" customFormat="1" ht="24.15" customHeight="1">
      <c r="C63" s="79" t="s">
        <v>229</v>
      </c>
      <c r="D63" s="79" t="s">
        <v>883</v>
      </c>
      <c r="E63" s="80" t="s">
        <v>1546</v>
      </c>
      <c r="F63" s="81" t="s">
        <v>1547</v>
      </c>
      <c r="G63" s="82" t="s">
        <v>260</v>
      </c>
      <c r="H63" s="83">
        <v>2</v>
      </c>
      <c r="I63" s="527"/>
      <c r="J63" s="84">
        <f t="shared" si="10"/>
        <v>0</v>
      </c>
      <c r="K63" s="521"/>
      <c r="L63" s="533" t="s">
        <v>2474</v>
      </c>
      <c r="M63" s="530" t="s">
        <v>854</v>
      </c>
      <c r="N63" s="72" t="s">
        <v>860</v>
      </c>
      <c r="O63" s="73">
        <v>0.019</v>
      </c>
      <c r="P63" s="73">
        <f t="shared" si="11"/>
        <v>0.038</v>
      </c>
      <c r="Q63" s="73">
        <v>0.0038</v>
      </c>
      <c r="R63" s="73">
        <f t="shared" si="12"/>
        <v>0.0076</v>
      </c>
      <c r="S63" s="73">
        <v>0</v>
      </c>
      <c r="T63" s="74">
        <f t="shared" si="13"/>
        <v>0</v>
      </c>
      <c r="AR63" s="75" t="s">
        <v>363</v>
      </c>
      <c r="AT63" s="75" t="s">
        <v>883</v>
      </c>
      <c r="AU63" s="75" t="s">
        <v>51</v>
      </c>
      <c r="AY63" s="47" t="s">
        <v>881</v>
      </c>
      <c r="BE63" s="76">
        <f t="shared" si="14"/>
        <v>0</v>
      </c>
      <c r="BF63" s="76">
        <f t="shared" si="15"/>
        <v>0</v>
      </c>
      <c r="BG63" s="76">
        <f t="shared" si="16"/>
        <v>0</v>
      </c>
      <c r="BH63" s="76">
        <f t="shared" si="17"/>
        <v>0</v>
      </c>
      <c r="BI63" s="76">
        <f t="shared" si="18"/>
        <v>0</v>
      </c>
      <c r="BJ63" s="47" t="s">
        <v>51</v>
      </c>
      <c r="BK63" s="76">
        <f t="shared" si="19"/>
        <v>0</v>
      </c>
      <c r="BL63" s="47" t="s">
        <v>363</v>
      </c>
      <c r="BM63" s="75" t="s">
        <v>1766</v>
      </c>
    </row>
    <row r="64" spans="3:65" s="48" customFormat="1" ht="21.75" customHeight="1">
      <c r="C64" s="79" t="s">
        <v>112</v>
      </c>
      <c r="D64" s="79" t="s">
        <v>883</v>
      </c>
      <c r="E64" s="80" t="s">
        <v>1549</v>
      </c>
      <c r="F64" s="81" t="s">
        <v>1550</v>
      </c>
      <c r="G64" s="82" t="s">
        <v>260</v>
      </c>
      <c r="H64" s="83">
        <v>2</v>
      </c>
      <c r="I64" s="527"/>
      <c r="J64" s="84">
        <f t="shared" si="10"/>
        <v>0</v>
      </c>
      <c r="K64" s="521"/>
      <c r="L64" s="533" t="s">
        <v>2474</v>
      </c>
      <c r="M64" s="530" t="s">
        <v>854</v>
      </c>
      <c r="N64" s="72" t="s">
        <v>860</v>
      </c>
      <c r="O64" s="73">
        <v>0.019</v>
      </c>
      <c r="P64" s="73">
        <f t="shared" si="11"/>
        <v>0.038</v>
      </c>
      <c r="Q64" s="73">
        <v>0.0076</v>
      </c>
      <c r="R64" s="73">
        <f t="shared" si="12"/>
        <v>0.0152</v>
      </c>
      <c r="S64" s="73">
        <v>0</v>
      </c>
      <c r="T64" s="74">
        <f t="shared" si="13"/>
        <v>0</v>
      </c>
      <c r="AR64" s="75" t="s">
        <v>363</v>
      </c>
      <c r="AT64" s="75" t="s">
        <v>883</v>
      </c>
      <c r="AU64" s="75" t="s">
        <v>51</v>
      </c>
      <c r="AY64" s="47" t="s">
        <v>881</v>
      </c>
      <c r="BE64" s="76">
        <f t="shared" si="14"/>
        <v>0</v>
      </c>
      <c r="BF64" s="76">
        <f t="shared" si="15"/>
        <v>0</v>
      </c>
      <c r="BG64" s="76">
        <f t="shared" si="16"/>
        <v>0</v>
      </c>
      <c r="BH64" s="76">
        <f t="shared" si="17"/>
        <v>0</v>
      </c>
      <c r="BI64" s="76">
        <f t="shared" si="18"/>
        <v>0</v>
      </c>
      <c r="BJ64" s="47" t="s">
        <v>51</v>
      </c>
      <c r="BK64" s="76">
        <f t="shared" si="19"/>
        <v>0</v>
      </c>
      <c r="BL64" s="47" t="s">
        <v>363</v>
      </c>
      <c r="BM64" s="75" t="s">
        <v>1767</v>
      </c>
    </row>
    <row r="65" spans="3:65" s="48" customFormat="1" ht="24.15" customHeight="1">
      <c r="C65" s="79" t="s">
        <v>237</v>
      </c>
      <c r="D65" s="79" t="s">
        <v>883</v>
      </c>
      <c r="E65" s="80" t="s">
        <v>1552</v>
      </c>
      <c r="F65" s="81" t="s">
        <v>1553</v>
      </c>
      <c r="G65" s="82" t="s">
        <v>74</v>
      </c>
      <c r="H65" s="83">
        <v>4</v>
      </c>
      <c r="I65" s="527"/>
      <c r="J65" s="84">
        <f t="shared" si="10"/>
        <v>0</v>
      </c>
      <c r="K65" s="521"/>
      <c r="L65" s="533" t="s">
        <v>2474</v>
      </c>
      <c r="M65" s="530" t="s">
        <v>854</v>
      </c>
      <c r="N65" s="72" t="s">
        <v>860</v>
      </c>
      <c r="O65" s="73">
        <v>0.302</v>
      </c>
      <c r="P65" s="73">
        <f t="shared" si="11"/>
        <v>1.208</v>
      </c>
      <c r="Q65" s="73">
        <v>0.18</v>
      </c>
      <c r="R65" s="73">
        <f t="shared" si="12"/>
        <v>0.72</v>
      </c>
      <c r="S65" s="73">
        <v>0</v>
      </c>
      <c r="T65" s="74">
        <f t="shared" si="13"/>
        <v>0</v>
      </c>
      <c r="AR65" s="75" t="s">
        <v>363</v>
      </c>
      <c r="AT65" s="75" t="s">
        <v>883</v>
      </c>
      <c r="AU65" s="75" t="s">
        <v>51</v>
      </c>
      <c r="AY65" s="47" t="s">
        <v>881</v>
      </c>
      <c r="BE65" s="76">
        <f t="shared" si="14"/>
        <v>0</v>
      </c>
      <c r="BF65" s="76">
        <f t="shared" si="15"/>
        <v>0</v>
      </c>
      <c r="BG65" s="76">
        <f t="shared" si="16"/>
        <v>0</v>
      </c>
      <c r="BH65" s="76">
        <f t="shared" si="17"/>
        <v>0</v>
      </c>
      <c r="BI65" s="76">
        <f t="shared" si="18"/>
        <v>0</v>
      </c>
      <c r="BJ65" s="47" t="s">
        <v>51</v>
      </c>
      <c r="BK65" s="76">
        <f t="shared" si="19"/>
        <v>0</v>
      </c>
      <c r="BL65" s="47" t="s">
        <v>363</v>
      </c>
      <c r="BM65" s="75" t="s">
        <v>1768</v>
      </c>
    </row>
    <row r="66" spans="3:65" s="48" customFormat="1" ht="24.15" customHeight="1">
      <c r="C66" s="79" t="s">
        <v>243</v>
      </c>
      <c r="D66" s="79" t="s">
        <v>883</v>
      </c>
      <c r="E66" s="80" t="s">
        <v>1555</v>
      </c>
      <c r="F66" s="81" t="s">
        <v>1556</v>
      </c>
      <c r="G66" s="82" t="s">
        <v>74</v>
      </c>
      <c r="H66" s="83">
        <v>4</v>
      </c>
      <c r="I66" s="527"/>
      <c r="J66" s="84">
        <f t="shared" si="10"/>
        <v>0</v>
      </c>
      <c r="K66" s="521"/>
      <c r="L66" s="533" t="s">
        <v>2474</v>
      </c>
      <c r="M66" s="530" t="s">
        <v>854</v>
      </c>
      <c r="N66" s="72" t="s">
        <v>860</v>
      </c>
      <c r="O66" s="73">
        <v>0.17</v>
      </c>
      <c r="P66" s="73">
        <f t="shared" si="11"/>
        <v>0.68</v>
      </c>
      <c r="Q66" s="73">
        <v>0.108</v>
      </c>
      <c r="R66" s="73">
        <f t="shared" si="12"/>
        <v>0.432</v>
      </c>
      <c r="S66" s="73">
        <v>0</v>
      </c>
      <c r="T66" s="74">
        <f t="shared" si="13"/>
        <v>0</v>
      </c>
      <c r="AR66" s="75" t="s">
        <v>363</v>
      </c>
      <c r="AT66" s="75" t="s">
        <v>883</v>
      </c>
      <c r="AU66" s="75" t="s">
        <v>51</v>
      </c>
      <c r="AY66" s="47" t="s">
        <v>881</v>
      </c>
      <c r="BE66" s="76">
        <f t="shared" si="14"/>
        <v>0</v>
      </c>
      <c r="BF66" s="76">
        <f t="shared" si="15"/>
        <v>0</v>
      </c>
      <c r="BG66" s="76">
        <f t="shared" si="16"/>
        <v>0</v>
      </c>
      <c r="BH66" s="76">
        <f t="shared" si="17"/>
        <v>0</v>
      </c>
      <c r="BI66" s="76">
        <f t="shared" si="18"/>
        <v>0</v>
      </c>
      <c r="BJ66" s="47" t="s">
        <v>51</v>
      </c>
      <c r="BK66" s="76">
        <f t="shared" si="19"/>
        <v>0</v>
      </c>
      <c r="BL66" s="47" t="s">
        <v>363</v>
      </c>
      <c r="BM66" s="75" t="s">
        <v>1769</v>
      </c>
    </row>
    <row r="67" spans="3:65" s="48" customFormat="1" ht="24.15" customHeight="1">
      <c r="C67" s="79" t="s">
        <v>144</v>
      </c>
      <c r="D67" s="79" t="s">
        <v>883</v>
      </c>
      <c r="E67" s="80" t="s">
        <v>1558</v>
      </c>
      <c r="F67" s="81" t="s">
        <v>1559</v>
      </c>
      <c r="G67" s="82" t="s">
        <v>74</v>
      </c>
      <c r="H67" s="83">
        <v>147</v>
      </c>
      <c r="I67" s="527"/>
      <c r="J67" s="84">
        <f t="shared" si="10"/>
        <v>0</v>
      </c>
      <c r="K67" s="521"/>
      <c r="L67" s="533" t="s">
        <v>2474</v>
      </c>
      <c r="M67" s="530" t="s">
        <v>854</v>
      </c>
      <c r="N67" s="72" t="s">
        <v>860</v>
      </c>
      <c r="O67" s="73">
        <v>0.118</v>
      </c>
      <c r="P67" s="73">
        <f t="shared" si="11"/>
        <v>17.346</v>
      </c>
      <c r="Q67" s="73">
        <v>0</v>
      </c>
      <c r="R67" s="73">
        <f t="shared" si="12"/>
        <v>0</v>
      </c>
      <c r="S67" s="73">
        <v>0</v>
      </c>
      <c r="T67" s="74">
        <f t="shared" si="13"/>
        <v>0</v>
      </c>
      <c r="AR67" s="75" t="s">
        <v>363</v>
      </c>
      <c r="AT67" s="75" t="s">
        <v>883</v>
      </c>
      <c r="AU67" s="75" t="s">
        <v>51</v>
      </c>
      <c r="AY67" s="47" t="s">
        <v>881</v>
      </c>
      <c r="BE67" s="76">
        <f t="shared" si="14"/>
        <v>0</v>
      </c>
      <c r="BF67" s="76">
        <f t="shared" si="15"/>
        <v>0</v>
      </c>
      <c r="BG67" s="76">
        <f t="shared" si="16"/>
        <v>0</v>
      </c>
      <c r="BH67" s="76">
        <f t="shared" si="17"/>
        <v>0</v>
      </c>
      <c r="BI67" s="76">
        <f t="shared" si="18"/>
        <v>0</v>
      </c>
      <c r="BJ67" s="47" t="s">
        <v>51</v>
      </c>
      <c r="BK67" s="76">
        <f t="shared" si="19"/>
        <v>0</v>
      </c>
      <c r="BL67" s="47" t="s">
        <v>363</v>
      </c>
      <c r="BM67" s="75" t="s">
        <v>1770</v>
      </c>
    </row>
    <row r="68" spans="3:65" s="48" customFormat="1" ht="24.15" customHeight="1">
      <c r="C68" s="79" t="s">
        <v>250</v>
      </c>
      <c r="D68" s="79" t="s">
        <v>883</v>
      </c>
      <c r="E68" s="80" t="s">
        <v>1561</v>
      </c>
      <c r="F68" s="81" t="s">
        <v>1562</v>
      </c>
      <c r="G68" s="82" t="s">
        <v>74</v>
      </c>
      <c r="H68" s="83">
        <v>40</v>
      </c>
      <c r="I68" s="527"/>
      <c r="J68" s="84">
        <f t="shared" si="10"/>
        <v>0</v>
      </c>
      <c r="K68" s="521"/>
      <c r="L68" s="533" t="s">
        <v>2474</v>
      </c>
      <c r="M68" s="530" t="s">
        <v>854</v>
      </c>
      <c r="N68" s="72" t="s">
        <v>860</v>
      </c>
      <c r="O68" s="73">
        <v>0.177</v>
      </c>
      <c r="P68" s="73">
        <f t="shared" si="11"/>
        <v>7.08</v>
      </c>
      <c r="Q68" s="73">
        <v>0</v>
      </c>
      <c r="R68" s="73">
        <f t="shared" si="12"/>
        <v>0</v>
      </c>
      <c r="S68" s="73">
        <v>0</v>
      </c>
      <c r="T68" s="74">
        <f t="shared" si="13"/>
        <v>0</v>
      </c>
      <c r="AR68" s="75" t="s">
        <v>363</v>
      </c>
      <c r="AT68" s="75" t="s">
        <v>883</v>
      </c>
      <c r="AU68" s="75" t="s">
        <v>51</v>
      </c>
      <c r="AY68" s="47" t="s">
        <v>881</v>
      </c>
      <c r="BE68" s="76">
        <f t="shared" si="14"/>
        <v>0</v>
      </c>
      <c r="BF68" s="76">
        <f t="shared" si="15"/>
        <v>0</v>
      </c>
      <c r="BG68" s="76">
        <f t="shared" si="16"/>
        <v>0</v>
      </c>
      <c r="BH68" s="76">
        <f t="shared" si="17"/>
        <v>0</v>
      </c>
      <c r="BI68" s="76">
        <f t="shared" si="18"/>
        <v>0</v>
      </c>
      <c r="BJ68" s="47" t="s">
        <v>51</v>
      </c>
      <c r="BK68" s="76">
        <f t="shared" si="19"/>
        <v>0</v>
      </c>
      <c r="BL68" s="47" t="s">
        <v>363</v>
      </c>
      <c r="BM68" s="75" t="s">
        <v>1771</v>
      </c>
    </row>
    <row r="69" spans="3:65" s="48" customFormat="1" ht="24.15" customHeight="1">
      <c r="C69" s="79" t="s">
        <v>253</v>
      </c>
      <c r="D69" s="79" t="s">
        <v>883</v>
      </c>
      <c r="E69" s="80" t="s">
        <v>1564</v>
      </c>
      <c r="F69" s="81" t="s">
        <v>1565</v>
      </c>
      <c r="G69" s="82" t="s">
        <v>74</v>
      </c>
      <c r="H69" s="83">
        <v>14</v>
      </c>
      <c r="I69" s="527"/>
      <c r="J69" s="84">
        <f t="shared" si="10"/>
        <v>0</v>
      </c>
      <c r="K69" s="521"/>
      <c r="L69" s="533" t="s">
        <v>2474</v>
      </c>
      <c r="M69" s="530" t="s">
        <v>854</v>
      </c>
      <c r="N69" s="72" t="s">
        <v>860</v>
      </c>
      <c r="O69" s="73">
        <v>0.379</v>
      </c>
      <c r="P69" s="73">
        <f t="shared" si="11"/>
        <v>5.306</v>
      </c>
      <c r="Q69" s="73">
        <v>0</v>
      </c>
      <c r="R69" s="73">
        <f t="shared" si="12"/>
        <v>0</v>
      </c>
      <c r="S69" s="73">
        <v>0</v>
      </c>
      <c r="T69" s="74">
        <f t="shared" si="13"/>
        <v>0</v>
      </c>
      <c r="AR69" s="75" t="s">
        <v>363</v>
      </c>
      <c r="AT69" s="75" t="s">
        <v>883</v>
      </c>
      <c r="AU69" s="75" t="s">
        <v>51</v>
      </c>
      <c r="AY69" s="47" t="s">
        <v>881</v>
      </c>
      <c r="BE69" s="76">
        <f t="shared" si="14"/>
        <v>0</v>
      </c>
      <c r="BF69" s="76">
        <f t="shared" si="15"/>
        <v>0</v>
      </c>
      <c r="BG69" s="76">
        <f t="shared" si="16"/>
        <v>0</v>
      </c>
      <c r="BH69" s="76">
        <f t="shared" si="17"/>
        <v>0</v>
      </c>
      <c r="BI69" s="76">
        <f t="shared" si="18"/>
        <v>0</v>
      </c>
      <c r="BJ69" s="47" t="s">
        <v>51</v>
      </c>
      <c r="BK69" s="76">
        <f t="shared" si="19"/>
        <v>0</v>
      </c>
      <c r="BL69" s="47" t="s">
        <v>363</v>
      </c>
      <c r="BM69" s="75" t="s">
        <v>1772</v>
      </c>
    </row>
    <row r="70" spans="3:65" s="48" customFormat="1" ht="24.15" customHeight="1">
      <c r="C70" s="79" t="s">
        <v>257</v>
      </c>
      <c r="D70" s="79" t="s">
        <v>883</v>
      </c>
      <c r="E70" s="80" t="s">
        <v>1567</v>
      </c>
      <c r="F70" s="81" t="s">
        <v>1568</v>
      </c>
      <c r="G70" s="82" t="s">
        <v>81</v>
      </c>
      <c r="H70" s="83">
        <v>2</v>
      </c>
      <c r="I70" s="527"/>
      <c r="J70" s="84">
        <f t="shared" si="10"/>
        <v>0</v>
      </c>
      <c r="K70" s="521"/>
      <c r="L70" s="533" t="s">
        <v>2474</v>
      </c>
      <c r="M70" s="530" t="s">
        <v>854</v>
      </c>
      <c r="N70" s="72" t="s">
        <v>860</v>
      </c>
      <c r="O70" s="73">
        <v>0.115</v>
      </c>
      <c r="P70" s="73">
        <f t="shared" si="11"/>
        <v>0.23</v>
      </c>
      <c r="Q70" s="73">
        <v>0</v>
      </c>
      <c r="R70" s="73">
        <f t="shared" si="12"/>
        <v>0</v>
      </c>
      <c r="S70" s="73">
        <v>0</v>
      </c>
      <c r="T70" s="74">
        <f t="shared" si="13"/>
        <v>0</v>
      </c>
      <c r="AR70" s="75" t="s">
        <v>363</v>
      </c>
      <c r="AT70" s="75" t="s">
        <v>883</v>
      </c>
      <c r="AU70" s="75" t="s">
        <v>51</v>
      </c>
      <c r="AY70" s="47" t="s">
        <v>881</v>
      </c>
      <c r="BE70" s="76">
        <f t="shared" si="14"/>
        <v>0</v>
      </c>
      <c r="BF70" s="76">
        <f t="shared" si="15"/>
        <v>0</v>
      </c>
      <c r="BG70" s="76">
        <f t="shared" si="16"/>
        <v>0</v>
      </c>
      <c r="BH70" s="76">
        <f t="shared" si="17"/>
        <v>0</v>
      </c>
      <c r="BI70" s="76">
        <f t="shared" si="18"/>
        <v>0</v>
      </c>
      <c r="BJ70" s="47" t="s">
        <v>51</v>
      </c>
      <c r="BK70" s="76">
        <f t="shared" si="19"/>
        <v>0</v>
      </c>
      <c r="BL70" s="47" t="s">
        <v>363</v>
      </c>
      <c r="BM70" s="75" t="s">
        <v>1773</v>
      </c>
    </row>
    <row r="71" spans="3:65" s="48" customFormat="1" ht="21.75" customHeight="1">
      <c r="C71" s="79" t="s">
        <v>262</v>
      </c>
      <c r="D71" s="79" t="s">
        <v>883</v>
      </c>
      <c r="E71" s="80" t="s">
        <v>1570</v>
      </c>
      <c r="F71" s="81" t="s">
        <v>1571</v>
      </c>
      <c r="G71" s="82" t="s">
        <v>81</v>
      </c>
      <c r="H71" s="83">
        <v>17.458</v>
      </c>
      <c r="I71" s="527"/>
      <c r="J71" s="84">
        <f t="shared" si="10"/>
        <v>0</v>
      </c>
      <c r="K71" s="521"/>
      <c r="L71" s="533" t="s">
        <v>2474</v>
      </c>
      <c r="M71" s="530" t="s">
        <v>854</v>
      </c>
      <c r="N71" s="72" t="s">
        <v>860</v>
      </c>
      <c r="O71" s="73">
        <v>0.074</v>
      </c>
      <c r="P71" s="73">
        <f t="shared" si="11"/>
        <v>1.2918919999999998</v>
      </c>
      <c r="Q71" s="73">
        <v>0</v>
      </c>
      <c r="R71" s="73">
        <f t="shared" si="12"/>
        <v>0</v>
      </c>
      <c r="S71" s="73">
        <v>0</v>
      </c>
      <c r="T71" s="74">
        <f t="shared" si="13"/>
        <v>0</v>
      </c>
      <c r="AR71" s="75" t="s">
        <v>363</v>
      </c>
      <c r="AT71" s="75" t="s">
        <v>883</v>
      </c>
      <c r="AU71" s="75" t="s">
        <v>51</v>
      </c>
      <c r="AY71" s="47" t="s">
        <v>881</v>
      </c>
      <c r="BE71" s="76">
        <f t="shared" si="14"/>
        <v>0</v>
      </c>
      <c r="BF71" s="76">
        <f t="shared" si="15"/>
        <v>0</v>
      </c>
      <c r="BG71" s="76">
        <f t="shared" si="16"/>
        <v>0</v>
      </c>
      <c r="BH71" s="76">
        <f t="shared" si="17"/>
        <v>0</v>
      </c>
      <c r="BI71" s="76">
        <f t="shared" si="18"/>
        <v>0</v>
      </c>
      <c r="BJ71" s="47" t="s">
        <v>51</v>
      </c>
      <c r="BK71" s="76">
        <f t="shared" si="19"/>
        <v>0</v>
      </c>
      <c r="BL71" s="47" t="s">
        <v>363</v>
      </c>
      <c r="BM71" s="75" t="s">
        <v>1774</v>
      </c>
    </row>
    <row r="72" spans="4:51" s="95" customFormat="1" ht="10.2">
      <c r="D72" s="207" t="s">
        <v>1418</v>
      </c>
      <c r="E72" s="96" t="s">
        <v>854</v>
      </c>
      <c r="F72" s="208" t="s">
        <v>1803</v>
      </c>
      <c r="H72" s="209">
        <v>15.19</v>
      </c>
      <c r="T72" s="97"/>
      <c r="AT72" s="96" t="s">
        <v>1418</v>
      </c>
      <c r="AU72" s="96" t="s">
        <v>51</v>
      </c>
      <c r="AV72" s="95" t="s">
        <v>63</v>
      </c>
      <c r="AW72" s="95" t="s">
        <v>1420</v>
      </c>
      <c r="AX72" s="95" t="s">
        <v>880</v>
      </c>
      <c r="AY72" s="96" t="s">
        <v>881</v>
      </c>
    </row>
    <row r="73" spans="4:51" s="95" customFormat="1" ht="10.2">
      <c r="D73" s="207" t="s">
        <v>1418</v>
      </c>
      <c r="E73" s="96" t="s">
        <v>854</v>
      </c>
      <c r="F73" s="208" t="s">
        <v>1804</v>
      </c>
      <c r="H73" s="209">
        <v>2.268</v>
      </c>
      <c r="T73" s="97"/>
      <c r="AT73" s="96" t="s">
        <v>1418</v>
      </c>
      <c r="AU73" s="96" t="s">
        <v>51</v>
      </c>
      <c r="AV73" s="95" t="s">
        <v>63</v>
      </c>
      <c r="AW73" s="95" t="s">
        <v>1420</v>
      </c>
      <c r="AX73" s="95" t="s">
        <v>880</v>
      </c>
      <c r="AY73" s="96" t="s">
        <v>881</v>
      </c>
    </row>
    <row r="74" spans="3:65" s="48" customFormat="1" ht="24.15" customHeight="1">
      <c r="C74" s="79" t="s">
        <v>266</v>
      </c>
      <c r="D74" s="79" t="s">
        <v>883</v>
      </c>
      <c r="E74" s="80" t="s">
        <v>1575</v>
      </c>
      <c r="F74" s="81" t="s">
        <v>1576</v>
      </c>
      <c r="G74" s="82" t="s">
        <v>81</v>
      </c>
      <c r="H74" s="83">
        <v>261.87</v>
      </c>
      <c r="I74" s="527"/>
      <c r="J74" s="84">
        <f>ROUND(I74*H74,2)</f>
        <v>0</v>
      </c>
      <c r="K74" s="521"/>
      <c r="L74" s="533" t="s">
        <v>2474</v>
      </c>
      <c r="M74" s="530" t="s">
        <v>854</v>
      </c>
      <c r="N74" s="72" t="s">
        <v>860</v>
      </c>
      <c r="O74" s="73">
        <v>0</v>
      </c>
      <c r="P74" s="73">
        <f>O74*H74</f>
        <v>0</v>
      </c>
      <c r="Q74" s="73">
        <v>0</v>
      </c>
      <c r="R74" s="73">
        <f>Q74*H74</f>
        <v>0</v>
      </c>
      <c r="S74" s="73">
        <v>0</v>
      </c>
      <c r="T74" s="74">
        <f>S74*H74</f>
        <v>0</v>
      </c>
      <c r="AR74" s="75" t="s">
        <v>363</v>
      </c>
      <c r="AT74" s="75" t="s">
        <v>883</v>
      </c>
      <c r="AU74" s="75" t="s">
        <v>51</v>
      </c>
      <c r="AY74" s="47" t="s">
        <v>881</v>
      </c>
      <c r="BE74" s="76">
        <f>IF(N74="základní",J74,0)</f>
        <v>0</v>
      </c>
      <c r="BF74" s="76">
        <f>IF(N74="snížená",J74,0)</f>
        <v>0</v>
      </c>
      <c r="BG74" s="76">
        <f>IF(N74="zákl. přenesená",J74,0)</f>
        <v>0</v>
      </c>
      <c r="BH74" s="76">
        <f>IF(N74="sníž. přenesená",J74,0)</f>
        <v>0</v>
      </c>
      <c r="BI74" s="76">
        <f>IF(N74="nulová",J74,0)</f>
        <v>0</v>
      </c>
      <c r="BJ74" s="47" t="s">
        <v>51</v>
      </c>
      <c r="BK74" s="76">
        <f>ROUND(I74*H74,2)</f>
        <v>0</v>
      </c>
      <c r="BL74" s="47" t="s">
        <v>363</v>
      </c>
      <c r="BM74" s="75" t="s">
        <v>1777</v>
      </c>
    </row>
    <row r="75" spans="4:51" s="95" customFormat="1" ht="10.2">
      <c r="D75" s="207" t="s">
        <v>1418</v>
      </c>
      <c r="E75" s="96" t="s">
        <v>854</v>
      </c>
      <c r="F75" s="208" t="s">
        <v>1805</v>
      </c>
      <c r="H75" s="209">
        <v>261.87</v>
      </c>
      <c r="T75" s="97"/>
      <c r="AT75" s="96" t="s">
        <v>1418</v>
      </c>
      <c r="AU75" s="96" t="s">
        <v>51</v>
      </c>
      <c r="AV75" s="95" t="s">
        <v>63</v>
      </c>
      <c r="AW75" s="95" t="s">
        <v>1420</v>
      </c>
      <c r="AX75" s="95" t="s">
        <v>51</v>
      </c>
      <c r="AY75" s="96" t="s">
        <v>881</v>
      </c>
    </row>
    <row r="76" spans="3:65" s="48" customFormat="1" ht="16.5" customHeight="1">
      <c r="C76" s="79" t="s">
        <v>270</v>
      </c>
      <c r="D76" s="79" t="s">
        <v>883</v>
      </c>
      <c r="E76" s="80" t="s">
        <v>1587</v>
      </c>
      <c r="F76" s="81" t="s">
        <v>124</v>
      </c>
      <c r="G76" s="82" t="s">
        <v>125</v>
      </c>
      <c r="H76" s="83">
        <v>28.077</v>
      </c>
      <c r="I76" s="527"/>
      <c r="J76" s="84">
        <f>ROUND(I76*H76,2)</f>
        <v>0</v>
      </c>
      <c r="K76" s="521"/>
      <c r="L76" s="533" t="s">
        <v>2130</v>
      </c>
      <c r="M76" s="530" t="s">
        <v>854</v>
      </c>
      <c r="N76" s="72" t="s">
        <v>860</v>
      </c>
      <c r="O76" s="73">
        <v>0</v>
      </c>
      <c r="P76" s="73">
        <f>O76*H76</f>
        <v>0</v>
      </c>
      <c r="Q76" s="73">
        <v>0</v>
      </c>
      <c r="R76" s="73">
        <f>Q76*H76</f>
        <v>0</v>
      </c>
      <c r="S76" s="73">
        <v>0</v>
      </c>
      <c r="T76" s="74">
        <f>S76*H76</f>
        <v>0</v>
      </c>
      <c r="AR76" s="75" t="s">
        <v>363</v>
      </c>
      <c r="AT76" s="75" t="s">
        <v>883</v>
      </c>
      <c r="AU76" s="75" t="s">
        <v>51</v>
      </c>
      <c r="AY76" s="47" t="s">
        <v>881</v>
      </c>
      <c r="BE76" s="76">
        <f>IF(N76="základní",J76,0)</f>
        <v>0</v>
      </c>
      <c r="BF76" s="76">
        <f>IF(N76="snížená",J76,0)</f>
        <v>0</v>
      </c>
      <c r="BG76" s="76">
        <f>IF(N76="zákl. přenesená",J76,0)</f>
        <v>0</v>
      </c>
      <c r="BH76" s="76">
        <f>IF(N76="sníž. přenesená",J76,0)</f>
        <v>0</v>
      </c>
      <c r="BI76" s="76">
        <f>IF(N76="nulová",J76,0)</f>
        <v>0</v>
      </c>
      <c r="BJ76" s="47" t="s">
        <v>51</v>
      </c>
      <c r="BK76" s="76">
        <f>ROUND(I76*H76,2)</f>
        <v>0</v>
      </c>
      <c r="BL76" s="47" t="s">
        <v>363</v>
      </c>
      <c r="BM76" s="75" t="s">
        <v>1779</v>
      </c>
    </row>
    <row r="77" spans="4:51" s="95" customFormat="1" ht="10.2">
      <c r="D77" s="207" t="s">
        <v>1418</v>
      </c>
      <c r="E77" s="96" t="s">
        <v>854</v>
      </c>
      <c r="F77" s="208" t="s">
        <v>1806</v>
      </c>
      <c r="H77" s="209">
        <v>28.077</v>
      </c>
      <c r="T77" s="97"/>
      <c r="AT77" s="96" t="s">
        <v>1418</v>
      </c>
      <c r="AU77" s="96" t="s">
        <v>51</v>
      </c>
      <c r="AV77" s="95" t="s">
        <v>63</v>
      </c>
      <c r="AW77" s="95" t="s">
        <v>1420</v>
      </c>
      <c r="AX77" s="95" t="s">
        <v>51</v>
      </c>
      <c r="AY77" s="96" t="s">
        <v>881</v>
      </c>
    </row>
    <row r="78" spans="3:65" s="48" customFormat="1" ht="21.75" customHeight="1">
      <c r="C78" s="79" t="s">
        <v>275</v>
      </c>
      <c r="D78" s="79" t="s">
        <v>883</v>
      </c>
      <c r="E78" s="80" t="s">
        <v>1593</v>
      </c>
      <c r="F78" s="81" t="s">
        <v>1594</v>
      </c>
      <c r="G78" s="82" t="s">
        <v>54</v>
      </c>
      <c r="H78" s="83">
        <v>165.9</v>
      </c>
      <c r="I78" s="527"/>
      <c r="J78" s="84">
        <f>ROUND(I78*H78,2)</f>
        <v>0</v>
      </c>
      <c r="K78" s="521"/>
      <c r="L78" s="533" t="s">
        <v>2474</v>
      </c>
      <c r="M78" s="530" t="s">
        <v>854</v>
      </c>
      <c r="N78" s="72" t="s">
        <v>860</v>
      </c>
      <c r="O78" s="73">
        <v>0.101</v>
      </c>
      <c r="P78" s="73">
        <f>O78*H78</f>
        <v>16.7559</v>
      </c>
      <c r="Q78" s="73">
        <v>0</v>
      </c>
      <c r="R78" s="73">
        <f>Q78*H78</f>
        <v>0</v>
      </c>
      <c r="S78" s="73">
        <v>0</v>
      </c>
      <c r="T78" s="74">
        <f>S78*H78</f>
        <v>0</v>
      </c>
      <c r="AR78" s="75" t="s">
        <v>363</v>
      </c>
      <c r="AT78" s="75" t="s">
        <v>883</v>
      </c>
      <c r="AU78" s="75" t="s">
        <v>51</v>
      </c>
      <c r="AY78" s="47" t="s">
        <v>881</v>
      </c>
      <c r="BE78" s="76">
        <f>IF(N78="základní",J78,0)</f>
        <v>0</v>
      </c>
      <c r="BF78" s="76">
        <f>IF(N78="snížená",J78,0)</f>
        <v>0</v>
      </c>
      <c r="BG78" s="76">
        <f>IF(N78="zákl. přenesená",J78,0)</f>
        <v>0</v>
      </c>
      <c r="BH78" s="76">
        <f>IF(N78="sníž. přenesená",J78,0)</f>
        <v>0</v>
      </c>
      <c r="BI78" s="76">
        <f>IF(N78="nulová",J78,0)</f>
        <v>0</v>
      </c>
      <c r="BJ78" s="47" t="s">
        <v>51</v>
      </c>
      <c r="BK78" s="76">
        <f>ROUND(I78*H78,2)</f>
        <v>0</v>
      </c>
      <c r="BL78" s="47" t="s">
        <v>363</v>
      </c>
      <c r="BM78" s="75" t="s">
        <v>1781</v>
      </c>
    </row>
    <row r="79" spans="4:51" s="95" customFormat="1" ht="10.2">
      <c r="D79" s="207" t="s">
        <v>1418</v>
      </c>
      <c r="E79" s="96" t="s">
        <v>854</v>
      </c>
      <c r="F79" s="208" t="s">
        <v>1807</v>
      </c>
      <c r="H79" s="209">
        <v>165.9</v>
      </c>
      <c r="M79" s="98"/>
      <c r="N79" s="98"/>
      <c r="O79" s="98"/>
      <c r="P79" s="98"/>
      <c r="Q79" s="98"/>
      <c r="R79" s="98"/>
      <c r="S79" s="98"/>
      <c r="T79" s="99"/>
      <c r="AT79" s="96" t="s">
        <v>1418</v>
      </c>
      <c r="AU79" s="96" t="s">
        <v>51</v>
      </c>
      <c r="AV79" s="95" t="s">
        <v>63</v>
      </c>
      <c r="AW79" s="95" t="s">
        <v>1420</v>
      </c>
      <c r="AX79" s="95" t="s">
        <v>880</v>
      </c>
      <c r="AY79" s="96" t="s">
        <v>881</v>
      </c>
    </row>
    <row r="80" s="48" customFormat="1" ht="6.9" customHeight="1">
      <c r="K80" s="50"/>
    </row>
  </sheetData>
  <sheetProtection algorithmName="SHA-512" hashValue="Iro+nQtkzdnLAX7CzZeRK4hffQF8P6OBD/1b9Twrwmt2pKclMkJRZxyZQ11TPnTOQpaC7zz8z6Mj4reAtw6lgw==" saltValue="kxRmFYXRZAUIhfcwcwvBGw==" spinCount="100000" sheet="1" objects="1" scenarios="1"/>
  <mergeCells count="2">
    <mergeCell ref="E6:H6"/>
    <mergeCell ref="E8:H8"/>
  </mergeCells>
  <printOptions horizontalCentered="1"/>
  <pageMargins left="0.7086614173228347" right="0.7086614173228347" top="0.7874015748031497" bottom="0.7874015748031497" header="0.31496062992125984" footer="0.31496062992125984"/>
  <pageSetup fitToHeight="100" fitToWidth="1" horizontalDpi="600" verticalDpi="600" orientation="portrait" paperSize="9" scale="75"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8DB8-2D08-4B82-8C3D-D56B74D751D8}">
  <sheetPr>
    <tabColor rgb="FF66FF66"/>
  </sheetPr>
  <dimension ref="A1:O61"/>
  <sheetViews>
    <sheetView showGridLines="0" view="pageBreakPreview" zoomScale="75" zoomScaleSheetLayoutView="75" workbookViewId="0" topLeftCell="A1">
      <selection activeCell="AF15" sqref="AF15"/>
    </sheetView>
  </sheetViews>
  <sheetFormatPr defaultColWidth="9.00390625" defaultRowHeight="15"/>
  <cols>
    <col min="1" max="1" width="0.2890625" style="210" customWidth="1"/>
    <col min="2" max="2" width="16.421875" style="210" customWidth="1"/>
    <col min="3" max="3" width="7.421875" style="277" customWidth="1"/>
    <col min="4" max="4" width="13.00390625" style="277" customWidth="1"/>
    <col min="5" max="5" width="9.7109375" style="277" customWidth="1"/>
    <col min="6" max="6" width="11.7109375" style="210" customWidth="1"/>
    <col min="7" max="9" width="13.00390625" style="210" customWidth="1"/>
    <col min="10" max="10" width="5.57421875" style="210" customWidth="1"/>
    <col min="11" max="11" width="4.28125" style="210" customWidth="1"/>
    <col min="12" max="15" width="10.7109375" style="210" customWidth="1"/>
    <col min="16" max="16384" width="9.00390625" style="210" customWidth="1"/>
  </cols>
  <sheetData>
    <row r="1" spans="1:10" ht="33.75" customHeight="1">
      <c r="A1" s="265" t="s">
        <v>2390</v>
      </c>
      <c r="B1" s="577" t="s">
        <v>2391</v>
      </c>
      <c r="C1" s="578"/>
      <c r="D1" s="578"/>
      <c r="E1" s="578"/>
      <c r="F1" s="578"/>
      <c r="G1" s="578"/>
      <c r="H1" s="578"/>
      <c r="I1" s="578"/>
      <c r="J1" s="579"/>
    </row>
    <row r="2" spans="1:15" ht="36" customHeight="1">
      <c r="A2" s="266"/>
      <c r="B2" s="267" t="s">
        <v>851</v>
      </c>
      <c r="C2" s="268"/>
      <c r="D2" s="269" t="s">
        <v>2145</v>
      </c>
      <c r="E2" s="580" t="s">
        <v>2146</v>
      </c>
      <c r="F2" s="581"/>
      <c r="G2" s="581"/>
      <c r="H2" s="581"/>
      <c r="I2" s="581"/>
      <c r="J2" s="582"/>
      <c r="O2" s="270"/>
    </row>
    <row r="3" spans="1:10" ht="27" customHeight="1" hidden="1">
      <c r="A3" s="266"/>
      <c r="B3" s="271"/>
      <c r="C3" s="268"/>
      <c r="D3" s="272"/>
      <c r="E3" s="583"/>
      <c r="F3" s="584"/>
      <c r="G3" s="584"/>
      <c r="H3" s="584"/>
      <c r="I3" s="584"/>
      <c r="J3" s="585"/>
    </row>
    <row r="4" spans="1:10" ht="23.25" customHeight="1">
      <c r="A4" s="266"/>
      <c r="B4" s="273"/>
      <c r="C4" s="274"/>
      <c r="D4" s="275"/>
      <c r="E4" s="586"/>
      <c r="F4" s="586"/>
      <c r="G4" s="586"/>
      <c r="H4" s="586"/>
      <c r="I4" s="586"/>
      <c r="J4" s="587"/>
    </row>
    <row r="5" spans="1:10" ht="24" customHeight="1">
      <c r="A5" s="266"/>
      <c r="B5" s="276" t="s">
        <v>2392</v>
      </c>
      <c r="D5" s="588" t="s">
        <v>6</v>
      </c>
      <c r="E5" s="589"/>
      <c r="F5" s="589"/>
      <c r="G5" s="589"/>
      <c r="H5" s="278" t="s">
        <v>2393</v>
      </c>
      <c r="I5" s="279" t="s">
        <v>2394</v>
      </c>
      <c r="J5" s="280"/>
    </row>
    <row r="6" spans="1:10" ht="15.75" customHeight="1">
      <c r="A6" s="266"/>
      <c r="B6" s="281"/>
      <c r="C6" s="282"/>
      <c r="D6" s="575" t="s">
        <v>2395</v>
      </c>
      <c r="E6" s="576"/>
      <c r="F6" s="576"/>
      <c r="G6" s="576"/>
      <c r="H6" s="278" t="s">
        <v>2396</v>
      </c>
      <c r="I6" s="279" t="s">
        <v>2397</v>
      </c>
      <c r="J6" s="280"/>
    </row>
    <row r="7" spans="1:10" ht="15.75" customHeight="1">
      <c r="A7" s="266"/>
      <c r="B7" s="284"/>
      <c r="C7" s="285"/>
      <c r="D7" s="286" t="s">
        <v>2398</v>
      </c>
      <c r="E7" s="568" t="s">
        <v>2399</v>
      </c>
      <c r="F7" s="569"/>
      <c r="G7" s="569"/>
      <c r="H7" s="287"/>
      <c r="I7" s="288"/>
      <c r="J7" s="289"/>
    </row>
    <row r="8" spans="1:10" ht="24" customHeight="1" hidden="1">
      <c r="A8" s="266"/>
      <c r="B8" s="276" t="s">
        <v>10</v>
      </c>
      <c r="D8" s="283" t="s">
        <v>2400</v>
      </c>
      <c r="H8" s="278" t="s">
        <v>2393</v>
      </c>
      <c r="I8" s="279" t="s">
        <v>2401</v>
      </c>
      <c r="J8" s="280"/>
    </row>
    <row r="9" spans="1:10" ht="15.75" customHeight="1" hidden="1">
      <c r="A9" s="266"/>
      <c r="B9" s="266"/>
      <c r="D9" s="283" t="s">
        <v>2402</v>
      </c>
      <c r="H9" s="278" t="s">
        <v>2396</v>
      </c>
      <c r="I9" s="279" t="s">
        <v>2403</v>
      </c>
      <c r="J9" s="280"/>
    </row>
    <row r="10" spans="1:10" ht="15.75" customHeight="1" hidden="1">
      <c r="A10" s="266"/>
      <c r="B10" s="290"/>
      <c r="C10" s="285"/>
      <c r="D10" s="286" t="s">
        <v>2398</v>
      </c>
      <c r="E10" s="291" t="s">
        <v>2404</v>
      </c>
      <c r="F10" s="287"/>
      <c r="G10" s="292"/>
      <c r="H10" s="292"/>
      <c r="I10" s="293"/>
      <c r="J10" s="289"/>
    </row>
    <row r="11" spans="1:10" ht="24" customHeight="1">
      <c r="A11" s="266"/>
      <c r="B11" s="276" t="s">
        <v>15</v>
      </c>
      <c r="D11" s="570"/>
      <c r="E11" s="570"/>
      <c r="F11" s="570"/>
      <c r="G11" s="570"/>
      <c r="H11" s="278" t="s">
        <v>2393</v>
      </c>
      <c r="I11" s="294"/>
      <c r="J11" s="280"/>
    </row>
    <row r="12" spans="1:10" ht="15.75" customHeight="1">
      <c r="A12" s="266"/>
      <c r="B12" s="281"/>
      <c r="C12" s="282"/>
      <c r="D12" s="571"/>
      <c r="E12" s="571"/>
      <c r="F12" s="571"/>
      <c r="G12" s="571"/>
      <c r="H12" s="278" t="s">
        <v>2396</v>
      </c>
      <c r="I12" s="294"/>
      <c r="J12" s="280"/>
    </row>
    <row r="13" spans="1:10" ht="15.75" customHeight="1">
      <c r="A13" s="266"/>
      <c r="B13" s="284"/>
      <c r="C13" s="285"/>
      <c r="D13" s="295"/>
      <c r="E13" s="572"/>
      <c r="F13" s="573"/>
      <c r="G13" s="573"/>
      <c r="H13" s="296"/>
      <c r="I13" s="288"/>
      <c r="J13" s="289"/>
    </row>
    <row r="14" spans="1:10" ht="24" customHeight="1">
      <c r="A14" s="266"/>
      <c r="B14" s="297" t="s">
        <v>2405</v>
      </c>
      <c r="C14" s="298"/>
      <c r="D14" s="299"/>
      <c r="E14" s="300"/>
      <c r="F14" s="301"/>
      <c r="G14" s="301"/>
      <c r="H14" s="302"/>
      <c r="I14" s="301"/>
      <c r="J14" s="303"/>
    </row>
    <row r="15" spans="1:10" ht="32.25" customHeight="1">
      <c r="A15" s="266"/>
      <c r="B15" s="290" t="s">
        <v>2406</v>
      </c>
      <c r="C15" s="304"/>
      <c r="D15" s="305"/>
      <c r="E15" s="574"/>
      <c r="F15" s="574"/>
      <c r="G15" s="566"/>
      <c r="H15" s="566"/>
      <c r="I15" s="566" t="s">
        <v>34</v>
      </c>
      <c r="J15" s="567"/>
    </row>
    <row r="16" spans="1:10" ht="23.25" customHeight="1">
      <c r="A16" s="306" t="s">
        <v>878</v>
      </c>
      <c r="B16" s="307" t="s">
        <v>2468</v>
      </c>
      <c r="C16" s="308"/>
      <c r="D16" s="309"/>
      <c r="E16" s="560"/>
      <c r="F16" s="561"/>
      <c r="G16" s="560"/>
      <c r="H16" s="561"/>
      <c r="I16" s="560">
        <f>SUM(I42:I60)</f>
        <v>0</v>
      </c>
      <c r="J16" s="562"/>
    </row>
    <row r="17" spans="1:10" ht="23.25" customHeight="1">
      <c r="A17" s="306" t="s">
        <v>1411</v>
      </c>
      <c r="B17" s="307" t="s">
        <v>1411</v>
      </c>
      <c r="C17" s="308"/>
      <c r="D17" s="309"/>
      <c r="E17" s="560"/>
      <c r="F17" s="561"/>
      <c r="G17" s="560"/>
      <c r="H17" s="561"/>
      <c r="I17" s="560"/>
      <c r="J17" s="562"/>
    </row>
    <row r="18" spans="1:10" ht="23.25" customHeight="1">
      <c r="A18" s="306" t="s">
        <v>2407</v>
      </c>
      <c r="B18" s="307" t="s">
        <v>2407</v>
      </c>
      <c r="C18" s="308"/>
      <c r="D18" s="309"/>
      <c r="E18" s="560"/>
      <c r="F18" s="561"/>
      <c r="G18" s="560"/>
      <c r="H18" s="561"/>
      <c r="I18" s="560"/>
      <c r="J18" s="562"/>
    </row>
    <row r="19" spans="1:10" ht="23.25" customHeight="1">
      <c r="A19" s="306" t="s">
        <v>2327</v>
      </c>
      <c r="B19" s="307" t="s">
        <v>2328</v>
      </c>
      <c r="C19" s="308"/>
      <c r="D19" s="309"/>
      <c r="E19" s="560"/>
      <c r="F19" s="561"/>
      <c r="G19" s="560"/>
      <c r="H19" s="561"/>
      <c r="I19" s="560">
        <f>'00 0 Naklady'!G8</f>
        <v>0</v>
      </c>
      <c r="J19" s="562"/>
    </row>
    <row r="20" spans="1:10" ht="23.25" customHeight="1">
      <c r="A20" s="306" t="s">
        <v>2358</v>
      </c>
      <c r="B20" s="307" t="s">
        <v>2359</v>
      </c>
      <c r="C20" s="308"/>
      <c r="D20" s="309"/>
      <c r="E20" s="560"/>
      <c r="F20" s="561"/>
      <c r="G20" s="560"/>
      <c r="H20" s="561"/>
      <c r="I20" s="560">
        <f>'00 0 Naklady'!G26</f>
        <v>0</v>
      </c>
      <c r="J20" s="562"/>
    </row>
    <row r="21" spans="1:10" ht="23.25" customHeight="1">
      <c r="A21" s="266"/>
      <c r="B21" s="310" t="s">
        <v>34</v>
      </c>
      <c r="C21" s="311"/>
      <c r="D21" s="312"/>
      <c r="E21" s="563"/>
      <c r="F21" s="564"/>
      <c r="G21" s="563"/>
      <c r="H21" s="564"/>
      <c r="I21" s="563">
        <f>SUM(I16:J20)</f>
        <v>0</v>
      </c>
      <c r="J21" s="565"/>
    </row>
    <row r="22" spans="1:10" ht="33" customHeight="1">
      <c r="A22" s="266"/>
      <c r="B22" s="313" t="s">
        <v>2408</v>
      </c>
      <c r="C22" s="308"/>
      <c r="D22" s="309"/>
      <c r="E22" s="314"/>
      <c r="F22" s="315"/>
      <c r="G22" s="316"/>
      <c r="H22" s="316"/>
      <c r="I22" s="316"/>
      <c r="J22" s="317"/>
    </row>
    <row r="23" spans="1:10" ht="23.25" customHeight="1">
      <c r="A23" s="266"/>
      <c r="B23" s="307" t="s">
        <v>2409</v>
      </c>
      <c r="C23" s="308"/>
      <c r="D23" s="309"/>
      <c r="E23" s="318">
        <v>15</v>
      </c>
      <c r="F23" s="315" t="s">
        <v>2410</v>
      </c>
      <c r="G23" s="545">
        <f>ZakladDPHSniVypocet</f>
        <v>0</v>
      </c>
      <c r="H23" s="546"/>
      <c r="I23" s="546"/>
      <c r="J23" s="317" t="str">
        <f aca="true" t="shared" si="0" ref="J23:J28">Mena</f>
        <v>CZK</v>
      </c>
    </row>
    <row r="24" spans="1:10" ht="23.25" customHeight="1" hidden="1">
      <c r="A24" s="266"/>
      <c r="B24" s="307" t="s">
        <v>2411</v>
      </c>
      <c r="C24" s="308"/>
      <c r="D24" s="309"/>
      <c r="E24" s="318">
        <f>SazbaDPH1</f>
        <v>15</v>
      </c>
      <c r="F24" s="315" t="s">
        <v>2410</v>
      </c>
      <c r="G24" s="547">
        <v>0</v>
      </c>
      <c r="H24" s="548"/>
      <c r="I24" s="548"/>
      <c r="J24" s="317" t="str">
        <f t="shared" si="0"/>
        <v>CZK</v>
      </c>
    </row>
    <row r="25" spans="1:10" ht="23.25" customHeight="1">
      <c r="A25" s="266"/>
      <c r="B25" s="307" t="s">
        <v>2412</v>
      </c>
      <c r="C25" s="308"/>
      <c r="D25" s="309"/>
      <c r="E25" s="318">
        <v>21</v>
      </c>
      <c r="F25" s="315" t="s">
        <v>2410</v>
      </c>
      <c r="G25" s="545">
        <f>I21</f>
        <v>0</v>
      </c>
      <c r="H25" s="546"/>
      <c r="I25" s="546"/>
      <c r="J25" s="317" t="str">
        <f t="shared" si="0"/>
        <v>CZK</v>
      </c>
    </row>
    <row r="26" spans="1:10" ht="23.25" customHeight="1" hidden="1">
      <c r="A26" s="266"/>
      <c r="B26" s="319" t="s">
        <v>2413</v>
      </c>
      <c r="C26" s="320"/>
      <c r="D26" s="305"/>
      <c r="E26" s="321">
        <f>SazbaDPH2</f>
        <v>21</v>
      </c>
      <c r="F26" s="322" t="s">
        <v>2410</v>
      </c>
      <c r="G26" s="549">
        <v>338740</v>
      </c>
      <c r="H26" s="550"/>
      <c r="I26" s="550"/>
      <c r="J26" s="323" t="str">
        <f t="shared" si="0"/>
        <v>CZK</v>
      </c>
    </row>
    <row r="27" spans="1:10" ht="23.25" customHeight="1" thickBot="1">
      <c r="A27" s="266">
        <f>ZakladDPHSni+ZakladDPHZakl</f>
        <v>1613049.3299999996</v>
      </c>
      <c r="B27" s="276" t="s">
        <v>2414</v>
      </c>
      <c r="C27" s="324"/>
      <c r="D27" s="325"/>
      <c r="E27" s="324"/>
      <c r="F27" s="326"/>
      <c r="G27" s="551">
        <v>0</v>
      </c>
      <c r="H27" s="551"/>
      <c r="I27" s="551"/>
      <c r="J27" s="327" t="str">
        <f t="shared" si="0"/>
        <v>CZK</v>
      </c>
    </row>
    <row r="28" spans="1:10" ht="27.75" customHeight="1" thickBot="1">
      <c r="A28" s="266">
        <f>(A27-INT(A27))*100</f>
        <v>32.99999996088445</v>
      </c>
      <c r="B28" s="328" t="s">
        <v>2415</v>
      </c>
      <c r="C28" s="329"/>
      <c r="D28" s="329"/>
      <c r="E28" s="330"/>
      <c r="F28" s="331"/>
      <c r="G28" s="552">
        <f>I21</f>
        <v>0</v>
      </c>
      <c r="H28" s="553"/>
      <c r="I28" s="553"/>
      <c r="J28" s="332" t="str">
        <f t="shared" si="0"/>
        <v>CZK</v>
      </c>
    </row>
    <row r="29" spans="1:10" ht="27.75" customHeight="1" hidden="1" thickBot="1">
      <c r="A29" s="266"/>
      <c r="B29" s="328" t="s">
        <v>2416</v>
      </c>
      <c r="C29" s="333"/>
      <c r="D29" s="333"/>
      <c r="E29" s="333"/>
      <c r="F29" s="334"/>
      <c r="G29" s="552">
        <f>ZakladDPHSni+DPHSni+ZakladDPHZakl+DPHZakl+Zaokrouhleni</f>
        <v>1951789</v>
      </c>
      <c r="H29" s="552"/>
      <c r="I29" s="552"/>
      <c r="J29" s="335" t="s">
        <v>2417</v>
      </c>
    </row>
    <row r="30" spans="1:10" ht="12.75" customHeight="1">
      <c r="A30" s="266"/>
      <c r="B30" s="266"/>
      <c r="J30" s="336"/>
    </row>
    <row r="31" spans="1:10" ht="30" customHeight="1">
      <c r="A31" s="266"/>
      <c r="B31" s="266"/>
      <c r="J31" s="336"/>
    </row>
    <row r="32" spans="1:10" ht="18.75" customHeight="1">
      <c r="A32" s="266"/>
      <c r="B32" s="337"/>
      <c r="C32" s="338" t="s">
        <v>2418</v>
      </c>
      <c r="D32" s="339"/>
      <c r="E32" s="339"/>
      <c r="F32" s="340" t="s">
        <v>2419</v>
      </c>
      <c r="G32" s="341"/>
      <c r="H32" s="342"/>
      <c r="I32" s="341"/>
      <c r="J32" s="336"/>
    </row>
    <row r="33" spans="1:10" ht="47.25" customHeight="1">
      <c r="A33" s="266"/>
      <c r="B33" s="266"/>
      <c r="J33" s="336"/>
    </row>
    <row r="34" spans="1:10" s="345" customFormat="1" ht="18.75" customHeight="1">
      <c r="A34" s="343"/>
      <c r="B34" s="343"/>
      <c r="C34" s="344"/>
      <c r="D34" s="554"/>
      <c r="E34" s="555"/>
      <c r="G34" s="556"/>
      <c r="H34" s="557"/>
      <c r="I34" s="557"/>
      <c r="J34" s="346"/>
    </row>
    <row r="35" spans="1:10" ht="12.75" customHeight="1">
      <c r="A35" s="266"/>
      <c r="B35" s="266"/>
      <c r="D35" s="558" t="s">
        <v>2420</v>
      </c>
      <c r="E35" s="558"/>
      <c r="H35" s="216" t="s">
        <v>2421</v>
      </c>
      <c r="J35" s="336"/>
    </row>
    <row r="36" spans="1:10" ht="13.5" customHeight="1" thickBot="1">
      <c r="A36" s="347"/>
      <c r="B36" s="347"/>
      <c r="C36" s="348"/>
      <c r="D36" s="348"/>
      <c r="E36" s="348"/>
      <c r="F36" s="349"/>
      <c r="G36" s="349"/>
      <c r="H36" s="349"/>
      <c r="I36" s="349"/>
      <c r="J36" s="350"/>
    </row>
    <row r="37" spans="2:10" ht="27" customHeight="1">
      <c r="B37" s="351" t="s">
        <v>2422</v>
      </c>
      <c r="C37" s="352"/>
      <c r="D37" s="352"/>
      <c r="E37" s="352"/>
      <c r="F37" s="353"/>
      <c r="G37" s="353"/>
      <c r="H37" s="353"/>
      <c r="I37" s="353"/>
      <c r="J37" s="354"/>
    </row>
    <row r="38" spans="1:10" ht="25.5" customHeight="1">
      <c r="A38" s="355" t="s">
        <v>2423</v>
      </c>
      <c r="B38" s="356" t="s">
        <v>2424</v>
      </c>
      <c r="C38" s="357" t="s">
        <v>2425</v>
      </c>
      <c r="D38" s="357"/>
      <c r="E38" s="357"/>
      <c r="F38" s="358" t="str">
        <f>B23</f>
        <v>Základ pro sníženou DPH</v>
      </c>
      <c r="G38" s="358" t="str">
        <f>B25</f>
        <v>Základ pro základní DPH</v>
      </c>
      <c r="H38" s="359" t="s">
        <v>2426</v>
      </c>
      <c r="I38" s="360" t="s">
        <v>2427</v>
      </c>
      <c r="J38" s="361" t="s">
        <v>2410</v>
      </c>
    </row>
    <row r="39" spans="1:10" ht="16.2" customHeight="1" hidden="1">
      <c r="A39" s="355">
        <v>1</v>
      </c>
      <c r="B39" s="362" t="s">
        <v>2428</v>
      </c>
      <c r="C39" s="559"/>
      <c r="D39" s="559"/>
      <c r="E39" s="559"/>
      <c r="F39" s="363">
        <f>'[2]00 0 Naklady'!AE48+'[2]SO 001.A.2,B,C,D 1 Pol'!AE167</f>
        <v>0</v>
      </c>
      <c r="G39" s="364">
        <f>'[2]00 0 Naklady'!AF48+'[2]SO 001.A.2,B,C,D 1 Pol'!AF167</f>
        <v>1613049.3299999996</v>
      </c>
      <c r="H39" s="365"/>
      <c r="I39" s="366">
        <f>F39+G39+H39</f>
        <v>1613049.3299999996</v>
      </c>
      <c r="J39" s="367" t="str">
        <f>IF(CenaCelkemVypocet=0,"",I39/CenaCelkemVypocet*100)</f>
        <v/>
      </c>
    </row>
    <row r="40" spans="1:10" ht="25.5" customHeight="1">
      <c r="A40" s="355">
        <v>2</v>
      </c>
      <c r="B40" s="368"/>
      <c r="C40" s="542" t="s">
        <v>2429</v>
      </c>
      <c r="D40" s="542"/>
      <c r="E40" s="542"/>
      <c r="F40" s="369">
        <f>'[2]00 0 Naklady'!AE48</f>
        <v>0</v>
      </c>
      <c r="G40" s="370">
        <f>'00 0 Naklady'!G48</f>
        <v>0</v>
      </c>
      <c r="H40" s="370"/>
      <c r="I40" s="371">
        <f>F40+G40+H40</f>
        <v>0</v>
      </c>
      <c r="J40" s="376" t="e">
        <f>I40/G28*100</f>
        <v>#DIV/0!</v>
      </c>
    </row>
    <row r="41" spans="1:10" ht="25.5" customHeight="1">
      <c r="A41" s="355">
        <v>2</v>
      </c>
      <c r="B41" s="368"/>
      <c r="C41" s="542" t="s">
        <v>2430</v>
      </c>
      <c r="D41" s="542"/>
      <c r="E41" s="542"/>
      <c r="F41" s="369"/>
      <c r="G41" s="370"/>
      <c r="H41" s="370"/>
      <c r="I41" s="371"/>
      <c r="J41" s="376"/>
    </row>
    <row r="42" spans="1:10" ht="25.5" customHeight="1">
      <c r="A42" s="355">
        <v>2</v>
      </c>
      <c r="B42" s="368" t="s">
        <v>2149</v>
      </c>
      <c r="C42" s="542" t="s">
        <v>2150</v>
      </c>
      <c r="D42" s="542"/>
      <c r="E42" s="542"/>
      <c r="F42" s="369">
        <f>'[2]SO 001.A.2,B,C,D 1 Pol'!AE167</f>
        <v>0</v>
      </c>
      <c r="G42" s="370">
        <f>'SO 001.A.2,B,C,D '!G167</f>
        <v>0</v>
      </c>
      <c r="H42" s="370"/>
      <c r="I42" s="371">
        <f>F42+G42+H42</f>
        <v>0</v>
      </c>
      <c r="J42" s="376" t="e">
        <f>I42/G28*100</f>
        <v>#DIV/0!</v>
      </c>
    </row>
    <row r="43" spans="1:10" ht="25.5" customHeight="1">
      <c r="A43" s="355"/>
      <c r="B43" s="368" t="s">
        <v>2432</v>
      </c>
      <c r="C43" s="542" t="s">
        <v>2434</v>
      </c>
      <c r="D43" s="542"/>
      <c r="E43" s="542"/>
      <c r="F43" s="369">
        <f>'[2]SO 001.A.2,B,C,D 1 Pol'!AE169</f>
        <v>0</v>
      </c>
      <c r="G43" s="370">
        <f>'SO 101.A.2'!J221</f>
        <v>0</v>
      </c>
      <c r="H43" s="370"/>
      <c r="I43" s="371">
        <f>F43+G43+H43</f>
        <v>0</v>
      </c>
      <c r="J43" s="376" t="e">
        <f>I43/G28*100</f>
        <v>#DIV/0!</v>
      </c>
    </row>
    <row r="44" spans="1:10" ht="25.5" customHeight="1">
      <c r="A44" s="355"/>
      <c r="B44" s="368" t="s">
        <v>2433</v>
      </c>
      <c r="C44" s="542" t="s">
        <v>2435</v>
      </c>
      <c r="D44" s="542"/>
      <c r="E44" s="542"/>
      <c r="F44" s="369">
        <f>'[2]SO 001.A.2,B,C,D 1 Pol'!AE170</f>
        <v>0</v>
      </c>
      <c r="G44" s="370">
        <f>'SO 101.1.A.2 '!J55</f>
        <v>0</v>
      </c>
      <c r="H44" s="370"/>
      <c r="I44" s="371">
        <f aca="true" t="shared" si="1" ref="I44:I52">F44+G44+H44</f>
        <v>0</v>
      </c>
      <c r="J44" s="376" t="e">
        <f>I44/G28*100</f>
        <v>#DIV/0!</v>
      </c>
    </row>
    <row r="45" spans="1:10" ht="25.5" customHeight="1">
      <c r="A45" s="355"/>
      <c r="B45" s="368" t="s">
        <v>2436</v>
      </c>
      <c r="C45" s="542" t="s">
        <v>2437</v>
      </c>
      <c r="D45" s="542"/>
      <c r="E45" s="542"/>
      <c r="F45" s="369">
        <f>'[2]SO 001.A.2,B,C,D 1 Pol'!AE171</f>
        <v>0</v>
      </c>
      <c r="G45" s="370">
        <f>'SO 102.B'!J250</f>
        <v>0</v>
      </c>
      <c r="H45" s="370"/>
      <c r="I45" s="371">
        <f t="shared" si="1"/>
        <v>0</v>
      </c>
      <c r="J45" s="376" t="e">
        <f>I45/G28*100</f>
        <v>#DIV/0!</v>
      </c>
    </row>
    <row r="46" spans="1:10" ht="25.5" customHeight="1">
      <c r="A46" s="355"/>
      <c r="B46" s="368" t="s">
        <v>2438</v>
      </c>
      <c r="C46" s="542" t="s">
        <v>2439</v>
      </c>
      <c r="D46" s="542"/>
      <c r="E46" s="542"/>
      <c r="F46" s="369">
        <f>'[2]SO 001.A.2,B,C,D 1 Pol'!AE172</f>
        <v>0</v>
      </c>
      <c r="G46" s="370">
        <f>'SO 102.1.B'!J59</f>
        <v>0</v>
      </c>
      <c r="H46" s="370"/>
      <c r="I46" s="371">
        <f t="shared" si="1"/>
        <v>0</v>
      </c>
      <c r="J46" s="376" t="e">
        <f>I46/G28*100</f>
        <v>#DIV/0!</v>
      </c>
    </row>
    <row r="47" spans="1:10" ht="25.5" customHeight="1">
      <c r="A47" s="355"/>
      <c r="B47" s="368" t="s">
        <v>2440</v>
      </c>
      <c r="C47" s="542" t="s">
        <v>2441</v>
      </c>
      <c r="D47" s="542"/>
      <c r="E47" s="542"/>
      <c r="F47" s="369">
        <f>'[2]SO 001.A.2,B,C,D 1 Pol'!AE173</f>
        <v>0</v>
      </c>
      <c r="G47" s="370">
        <f>'SO 103.C'!J194</f>
        <v>0</v>
      </c>
      <c r="H47" s="370"/>
      <c r="I47" s="371">
        <f t="shared" si="1"/>
        <v>0</v>
      </c>
      <c r="J47" s="376" t="e">
        <f>I47/G28*100</f>
        <v>#DIV/0!</v>
      </c>
    </row>
    <row r="48" spans="1:10" ht="25.5" customHeight="1">
      <c r="A48" s="355"/>
      <c r="B48" s="368" t="s">
        <v>2442</v>
      </c>
      <c r="C48" s="542" t="s">
        <v>2443</v>
      </c>
      <c r="D48" s="542"/>
      <c r="E48" s="542"/>
      <c r="F48" s="369">
        <f>'[2]SO 001.A.2,B,C,D 1 Pol'!AE174</f>
        <v>0</v>
      </c>
      <c r="G48" s="370">
        <f>'SO 103.1.C'!J63</f>
        <v>0</v>
      </c>
      <c r="H48" s="370"/>
      <c r="I48" s="371">
        <f t="shared" si="1"/>
        <v>0</v>
      </c>
      <c r="J48" s="376" t="e">
        <f>I48/G28*100</f>
        <v>#DIV/0!</v>
      </c>
    </row>
    <row r="49" spans="1:10" ht="25.5" customHeight="1">
      <c r="A49" s="355"/>
      <c r="B49" s="368" t="s">
        <v>2444</v>
      </c>
      <c r="C49" s="542" t="s">
        <v>2445</v>
      </c>
      <c r="D49" s="542"/>
      <c r="E49" s="542"/>
      <c r="F49" s="369">
        <f>'[2]SO 001.A.2,B,C,D 1 Pol'!AE175</f>
        <v>0</v>
      </c>
      <c r="G49" s="370">
        <f>'SO 104.D'!J327</f>
        <v>0</v>
      </c>
      <c r="H49" s="370"/>
      <c r="I49" s="371">
        <f t="shared" si="1"/>
        <v>0</v>
      </c>
      <c r="J49" s="376" t="e">
        <f>I49/G28*100</f>
        <v>#DIV/0!</v>
      </c>
    </row>
    <row r="50" spans="1:10" ht="25.5" customHeight="1">
      <c r="A50" s="355"/>
      <c r="B50" s="368" t="s">
        <v>2446</v>
      </c>
      <c r="C50" s="542" t="s">
        <v>2447</v>
      </c>
      <c r="D50" s="542"/>
      <c r="E50" s="542"/>
      <c r="F50" s="369">
        <f>'[2]SO 001.A.2,B,C,D 1 Pol'!AE176</f>
        <v>0</v>
      </c>
      <c r="G50" s="370">
        <f>'SO 104.1.D'!J80</f>
        <v>0</v>
      </c>
      <c r="H50" s="370"/>
      <c r="I50" s="371">
        <f t="shared" si="1"/>
        <v>0</v>
      </c>
      <c r="J50" s="376" t="e">
        <f>I50/G28*100</f>
        <v>#DIV/0!</v>
      </c>
    </row>
    <row r="51" spans="1:10" ht="25.5" customHeight="1">
      <c r="A51" s="355"/>
      <c r="B51" s="375" t="s">
        <v>2448</v>
      </c>
      <c r="C51" s="542" t="s">
        <v>2449</v>
      </c>
      <c r="D51" s="542"/>
      <c r="E51" s="542"/>
      <c r="F51" s="369">
        <f>'[2]SO 001.A.2,B,C,D 1 Pol'!AE177</f>
        <v>0</v>
      </c>
      <c r="G51" s="370">
        <f>'SO 300, SO 301, SO 302. A.2.B.C'!J17</f>
        <v>0</v>
      </c>
      <c r="H51" s="370"/>
      <c r="I51" s="371">
        <f t="shared" si="1"/>
        <v>0</v>
      </c>
      <c r="J51" s="376" t="e">
        <f>I51/G28*100</f>
        <v>#DIV/0!</v>
      </c>
    </row>
    <row r="52" spans="1:10" ht="25.5" customHeight="1">
      <c r="A52" s="355"/>
      <c r="B52" s="375" t="s">
        <v>2450</v>
      </c>
      <c r="C52" s="542" t="s">
        <v>2451</v>
      </c>
      <c r="D52" s="542"/>
      <c r="E52" s="542"/>
      <c r="F52" s="369">
        <f>'[2]SO 001.A.2,B,C,D 1 Pol'!AE178</f>
        <v>0</v>
      </c>
      <c r="G52" s="370">
        <f>'SO 305, SO 306.A.2.B,C'!J16</f>
        <v>0</v>
      </c>
      <c r="H52" s="370"/>
      <c r="I52" s="371">
        <f t="shared" si="1"/>
        <v>0</v>
      </c>
      <c r="J52" s="376" t="e">
        <f>I52/G28*100</f>
        <v>#DIV/0!</v>
      </c>
    </row>
    <row r="53" spans="1:10" ht="25.5" customHeight="1">
      <c r="A53" s="355"/>
      <c r="B53" s="375" t="s">
        <v>2452</v>
      </c>
      <c r="C53" s="542" t="s">
        <v>2453</v>
      </c>
      <c r="D53" s="542"/>
      <c r="E53" s="542"/>
      <c r="F53" s="369">
        <f>'[2]SO 001.A.2,B,C,D 1 Pol'!AE179</f>
        <v>0</v>
      </c>
      <c r="G53" s="370">
        <f>'SO 303, SO 304.A.2.B.C'!J16</f>
        <v>0</v>
      </c>
      <c r="H53" s="370"/>
      <c r="I53" s="371">
        <f aca="true" t="shared" si="2" ref="I53:I54">F53+G53+H53</f>
        <v>0</v>
      </c>
      <c r="J53" s="376" t="e">
        <f>I53/G28*100</f>
        <v>#DIV/0!</v>
      </c>
    </row>
    <row r="54" spans="1:10" ht="25.5" customHeight="1">
      <c r="A54" s="355"/>
      <c r="B54" s="368" t="s">
        <v>2454</v>
      </c>
      <c r="C54" s="542" t="s">
        <v>2455</v>
      </c>
      <c r="D54" s="542"/>
      <c r="E54" s="542"/>
      <c r="F54" s="369">
        <f>'[2]SO 001.A.2,B,C,D 1 Pol'!AE180</f>
        <v>0</v>
      </c>
      <c r="G54" s="370">
        <f>'SO 405.1-P.D'!J16</f>
        <v>0</v>
      </c>
      <c r="H54" s="370"/>
      <c r="I54" s="371">
        <f t="shared" si="2"/>
        <v>0</v>
      </c>
      <c r="J54" s="376" t="e">
        <f>I54/G28*100</f>
        <v>#DIV/0!</v>
      </c>
    </row>
    <row r="55" spans="1:10" ht="25.5" customHeight="1">
      <c r="A55" s="355"/>
      <c r="B55" s="368" t="s">
        <v>2466</v>
      </c>
      <c r="C55" s="542" t="s">
        <v>2467</v>
      </c>
      <c r="D55" s="542"/>
      <c r="E55" s="542"/>
      <c r="F55" s="369">
        <f>'[2]SO 001.A.2,B,C,D 1 Pol'!AE181</f>
        <v>0</v>
      </c>
      <c r="G55" s="370">
        <f>'SO 405.1-N.D'!J16</f>
        <v>0</v>
      </c>
      <c r="H55" s="370"/>
      <c r="I55" s="371">
        <f aca="true" t="shared" si="3" ref="I55:I60">F55+G55+H55</f>
        <v>0</v>
      </c>
      <c r="J55" s="376" t="e">
        <f>I55/G28*100</f>
        <v>#DIV/0!</v>
      </c>
    </row>
    <row r="56" spans="1:10" ht="25.5" customHeight="1">
      <c r="A56" s="355"/>
      <c r="B56" s="368" t="s">
        <v>2456</v>
      </c>
      <c r="C56" s="542" t="s">
        <v>2457</v>
      </c>
      <c r="D56" s="542"/>
      <c r="E56" s="542"/>
      <c r="F56" s="369">
        <f>'[2]SO 001.A.2,B,C,D 1 Pol'!AE181</f>
        <v>0</v>
      </c>
      <c r="G56" s="370">
        <f>'SO 405.A.2.B'!J16</f>
        <v>0</v>
      </c>
      <c r="H56" s="370"/>
      <c r="I56" s="371">
        <f t="shared" si="3"/>
        <v>0</v>
      </c>
      <c r="J56" s="376" t="e">
        <f>I56/G28*100</f>
        <v>#DIV/0!</v>
      </c>
    </row>
    <row r="57" spans="1:10" ht="25.5" customHeight="1">
      <c r="A57" s="355"/>
      <c r="B57" s="368" t="s">
        <v>2458</v>
      </c>
      <c r="C57" s="542" t="s">
        <v>2459</v>
      </c>
      <c r="D57" s="542"/>
      <c r="E57" s="542"/>
      <c r="F57" s="369">
        <f>'[2]SO 001.A.2,B,C,D 1 Pol'!AE182</f>
        <v>0</v>
      </c>
      <c r="G57" s="370">
        <f>'SO 406.C'!J16</f>
        <v>0</v>
      </c>
      <c r="H57" s="370"/>
      <c r="I57" s="371">
        <f t="shared" si="3"/>
        <v>0</v>
      </c>
      <c r="J57" s="376" t="e">
        <f>I57/G28*100</f>
        <v>#DIV/0!</v>
      </c>
    </row>
    <row r="58" spans="1:10" ht="25.5" customHeight="1">
      <c r="A58" s="355"/>
      <c r="B58" s="368" t="s">
        <v>2460</v>
      </c>
      <c r="C58" s="542" t="s">
        <v>2461</v>
      </c>
      <c r="D58" s="542"/>
      <c r="E58" s="542"/>
      <c r="F58" s="369">
        <f>'[2]SO 001.A.2,B,C,D 1 Pol'!AE183</f>
        <v>0</v>
      </c>
      <c r="G58" s="370">
        <f>'SO 501.A.2'!J16</f>
        <v>0</v>
      </c>
      <c r="H58" s="370"/>
      <c r="I58" s="371">
        <f t="shared" si="3"/>
        <v>0</v>
      </c>
      <c r="J58" s="376" t="e">
        <f>I58/G28*100</f>
        <v>#DIV/0!</v>
      </c>
    </row>
    <row r="59" spans="1:10" ht="25.5" customHeight="1">
      <c r="A59" s="355"/>
      <c r="B59" s="375" t="s">
        <v>2462</v>
      </c>
      <c r="C59" s="542" t="s">
        <v>2463</v>
      </c>
      <c r="D59" s="542"/>
      <c r="E59" s="542"/>
      <c r="F59" s="369">
        <f>'[2]SO 001.A.2,B,C,D 1 Pol'!AE184</f>
        <v>0</v>
      </c>
      <c r="G59" s="370">
        <f>'SO 502, SO 503.A.2.B.C'!J16</f>
        <v>0</v>
      </c>
      <c r="H59" s="370"/>
      <c r="I59" s="371">
        <f t="shared" si="3"/>
        <v>0</v>
      </c>
      <c r="J59" s="376" t="e">
        <f>I59/G28*100</f>
        <v>#DIV/0!</v>
      </c>
    </row>
    <row r="60" spans="1:10" ht="25.5" customHeight="1">
      <c r="A60" s="355"/>
      <c r="B60" s="375" t="s">
        <v>2464</v>
      </c>
      <c r="C60" s="542" t="s">
        <v>2465</v>
      </c>
      <c r="D60" s="542"/>
      <c r="E60" s="542"/>
      <c r="F60" s="369">
        <f>'[2]SO 001.A.2,B,C,D 1 Pol'!AE185</f>
        <v>0</v>
      </c>
      <c r="G60" s="370">
        <f>'SO 801.A.2.B.C.D'!H172</f>
        <v>0</v>
      </c>
      <c r="H60" s="370"/>
      <c r="I60" s="371">
        <f t="shared" si="3"/>
        <v>0</v>
      </c>
      <c r="J60" s="376" t="e">
        <f>I60/G28*100</f>
        <v>#DIV/0!</v>
      </c>
    </row>
    <row r="61" spans="1:10" ht="25.5" customHeight="1">
      <c r="A61" s="355"/>
      <c r="B61" s="543" t="s">
        <v>2431</v>
      </c>
      <c r="C61" s="544"/>
      <c r="D61" s="544"/>
      <c r="E61" s="544"/>
      <c r="F61" s="372">
        <f>SUMIF(A39:A42,"=1",F39:F42)</f>
        <v>0</v>
      </c>
      <c r="G61" s="373">
        <f>SUMIF(A39:A42,"=1",G39:G42)</f>
        <v>1613049.3299999996</v>
      </c>
      <c r="H61" s="373">
        <f>SUMIF(A39:A42,"=1",H39:H42)</f>
        <v>0</v>
      </c>
      <c r="I61" s="374">
        <f>SUM(I42:I60)+I40</f>
        <v>0</v>
      </c>
      <c r="J61" s="374" t="e">
        <f>SUM(J42:J60)+J40</f>
        <v>#DIV/0!</v>
      </c>
    </row>
  </sheetData>
  <sheetProtection algorithmName="SHA-512" hashValue="w6hmYk1lDy0KshBwGIjb0hd5tOJRoQGer1+q+8Lu8qF5yyJVt/wgJKKT75X2z3tMwkH0wCOKsFxowlH8Dst8fQ==" saltValue="X6ggR4wWe+ox3dOwn1bwHg==" spinCount="100000" sheet="1" formatRows="0"/>
  <mergeCells count="64">
    <mergeCell ref="D6:G6"/>
    <mergeCell ref="B1:J1"/>
    <mergeCell ref="E2:J2"/>
    <mergeCell ref="E3:J3"/>
    <mergeCell ref="E4:J4"/>
    <mergeCell ref="D5:G5"/>
    <mergeCell ref="E7:G7"/>
    <mergeCell ref="D11:G11"/>
    <mergeCell ref="D12:G12"/>
    <mergeCell ref="E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C40:E40"/>
    <mergeCell ref="G23:I23"/>
    <mergeCell ref="G24:I24"/>
    <mergeCell ref="G25:I25"/>
    <mergeCell ref="G26:I26"/>
    <mergeCell ref="G27:I27"/>
    <mergeCell ref="G28:I28"/>
    <mergeCell ref="G29:I29"/>
    <mergeCell ref="D34:E34"/>
    <mergeCell ref="G34:I34"/>
    <mergeCell ref="D35:E35"/>
    <mergeCell ref="C39:E39"/>
    <mergeCell ref="C41:E41"/>
    <mergeCell ref="C42:E42"/>
    <mergeCell ref="B61:E61"/>
    <mergeCell ref="C51:E51"/>
    <mergeCell ref="C52:E52"/>
    <mergeCell ref="C53:E53"/>
    <mergeCell ref="C54:E54"/>
    <mergeCell ref="C60:E60"/>
    <mergeCell ref="C43:E43"/>
    <mergeCell ref="C44:E44"/>
    <mergeCell ref="C45:E45"/>
    <mergeCell ref="C46:E46"/>
    <mergeCell ref="C47:E47"/>
    <mergeCell ref="C48:E48"/>
    <mergeCell ref="C49:E49"/>
    <mergeCell ref="C50:E50"/>
    <mergeCell ref="C55:E55"/>
    <mergeCell ref="C56:E56"/>
    <mergeCell ref="C57:E57"/>
    <mergeCell ref="C58:E58"/>
    <mergeCell ref="C59:E59"/>
  </mergeCells>
  <printOptions/>
  <pageMargins left="0.1968503937007874" right="0.1968503937007874" top="0.5905511811023623" bottom="0.3937007874015748" header="0" footer="0.1968503937007874"/>
  <pageSetup fitToHeight="9999" horizontalDpi="300" verticalDpi="300" orientation="portrait" paperSize="9" scale="97" r:id="rId3"/>
  <headerFooter alignWithMargins="0">
    <oddFooter>&amp;L&amp;9Zpracováno programem &amp;"Arial CE,tučné"BUILDpower S,  © RTS, a.s.&amp;R&amp;9Stránka &amp;P z &amp;N</oddFooter>
  </headerFooter>
  <rowBreaks count="1" manualBreakCount="1">
    <brk id="36"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5933-EE0C-4E29-B282-B17E6E86EA32}">
  <sheetPr>
    <pageSetUpPr fitToPage="1"/>
  </sheetPr>
  <dimension ref="C2:BM76"/>
  <sheetViews>
    <sheetView showGridLines="0" view="pageBreakPreview" zoomScale="115" zoomScaleSheetLayoutView="115" workbookViewId="0" topLeftCell="A55">
      <selection activeCell="F58" sqref="F58"/>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8.8515625" style="0"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99" width="9.140625" style="0" hidden="1" customWidth="1"/>
    <col min="100" max="100" width="1.7109375" style="0" customWidth="1"/>
    <col min="101" max="101" width="1.8515625" style="0" customWidth="1"/>
  </cols>
  <sheetData>
    <row r="2" s="48" customFormat="1" ht="6.9" customHeight="1">
      <c r="K2" s="51"/>
    </row>
    <row r="3" s="48" customFormat="1" ht="24.9" customHeight="1">
      <c r="C3" s="196" t="s">
        <v>864</v>
      </c>
    </row>
    <row r="4" s="48" customFormat="1" ht="6.9" customHeight="1"/>
    <row r="5" s="48" customFormat="1" ht="12" customHeight="1">
      <c r="C5" s="197" t="s">
        <v>851</v>
      </c>
    </row>
    <row r="6" spans="5:8" s="48" customFormat="1" ht="26.25" customHeight="1">
      <c r="E6" s="645" t="s">
        <v>1896</v>
      </c>
      <c r="F6" s="646"/>
      <c r="G6" s="646"/>
      <c r="H6" s="646"/>
    </row>
    <row r="7" s="48" customFormat="1" ht="12" customHeight="1">
      <c r="C7" s="197" t="s">
        <v>852</v>
      </c>
    </row>
    <row r="8" spans="5:8" s="48" customFormat="1" ht="30" customHeight="1">
      <c r="E8" s="647" t="s">
        <v>1808</v>
      </c>
      <c r="F8" s="648"/>
      <c r="G8" s="648"/>
      <c r="H8" s="648"/>
    </row>
    <row r="9" s="48" customFormat="1" ht="6.9" customHeight="1"/>
    <row r="10" spans="3:10" s="48" customFormat="1" ht="12" customHeight="1">
      <c r="C10" s="197" t="s">
        <v>855</v>
      </c>
      <c r="F10" s="198"/>
      <c r="I10" s="197" t="s">
        <v>856</v>
      </c>
      <c r="J10" s="199"/>
    </row>
    <row r="11" s="48" customFormat="1" ht="6.9" customHeight="1"/>
    <row r="12" spans="3:10" s="48" customFormat="1" ht="15.15" customHeight="1">
      <c r="C12" s="197" t="s">
        <v>857</v>
      </c>
      <c r="F12" s="198"/>
      <c r="I12" s="197" t="s">
        <v>10</v>
      </c>
      <c r="J12" s="200"/>
    </row>
    <row r="13" spans="3:10" s="48" customFormat="1" ht="15.15" customHeight="1">
      <c r="C13" s="197" t="s">
        <v>15</v>
      </c>
      <c r="F13" s="534"/>
      <c r="I13" s="197" t="s">
        <v>858</v>
      </c>
      <c r="J13" s="200"/>
    </row>
    <row r="14" s="48" customFormat="1" ht="10.35" customHeight="1"/>
    <row r="15" spans="3:20" s="59" customFormat="1" ht="29.25" customHeight="1">
      <c r="C15" s="52" t="s">
        <v>865</v>
      </c>
      <c r="D15" s="53" t="s">
        <v>866</v>
      </c>
      <c r="E15" s="53" t="s">
        <v>20</v>
      </c>
      <c r="F15" s="53" t="s">
        <v>867</v>
      </c>
      <c r="G15" s="53" t="s">
        <v>22</v>
      </c>
      <c r="H15" s="53" t="s">
        <v>23</v>
      </c>
      <c r="I15" s="53" t="s">
        <v>868</v>
      </c>
      <c r="J15" s="54" t="s">
        <v>862</v>
      </c>
      <c r="K15" s="55" t="s">
        <v>869</v>
      </c>
      <c r="L15" s="523" t="s">
        <v>2475</v>
      </c>
      <c r="M15" s="57" t="s">
        <v>854</v>
      </c>
      <c r="N15" s="57" t="s">
        <v>859</v>
      </c>
      <c r="O15" s="57" t="s">
        <v>870</v>
      </c>
      <c r="P15" s="57" t="s">
        <v>871</v>
      </c>
      <c r="Q15" s="57" t="s">
        <v>872</v>
      </c>
      <c r="R15" s="57" t="s">
        <v>873</v>
      </c>
      <c r="S15" s="57" t="s">
        <v>874</v>
      </c>
      <c r="T15" s="58" t="s">
        <v>875</v>
      </c>
    </row>
    <row r="16" spans="3:63" s="48" customFormat="1" ht="22.95" customHeight="1">
      <c r="C16" s="201" t="s">
        <v>876</v>
      </c>
      <c r="J16" s="202">
        <f>BK16</f>
        <v>0</v>
      </c>
      <c r="M16" s="49"/>
      <c r="N16" s="49"/>
      <c r="O16" s="49"/>
      <c r="P16" s="61">
        <f>P17+P50+P51+P68</f>
        <v>772.34182</v>
      </c>
      <c r="Q16" s="49"/>
      <c r="R16" s="61">
        <f>R17+R50+R51+R68</f>
        <v>140.21051920000002</v>
      </c>
      <c r="S16" s="49"/>
      <c r="T16" s="62">
        <f>T17+T50+T51+T68</f>
        <v>73.42</v>
      </c>
      <c r="AT16" s="47" t="s">
        <v>877</v>
      </c>
      <c r="AU16" s="47" t="s">
        <v>863</v>
      </c>
      <c r="BK16" s="63">
        <f>BK17+BK50+BK51+BK68</f>
        <v>0</v>
      </c>
    </row>
    <row r="17" spans="4:63" s="64" customFormat="1" ht="25.95" customHeight="1">
      <c r="D17" s="65" t="s">
        <v>877</v>
      </c>
      <c r="E17" s="203" t="s">
        <v>878</v>
      </c>
      <c r="F17" s="203" t="s">
        <v>879</v>
      </c>
      <c r="J17" s="204">
        <f>BK17</f>
        <v>0</v>
      </c>
      <c r="P17" s="67">
        <f>P18+P31+P33+P38+P41+P43+P48</f>
        <v>666.43582</v>
      </c>
      <c r="R17" s="67">
        <f>R18+R31+R33+R38+R41+R43+R48</f>
        <v>140.08054</v>
      </c>
      <c r="T17" s="68">
        <f>T18+T31+T33+T38+T41+T43+T48</f>
        <v>73.42</v>
      </c>
      <c r="AR17" s="65" t="s">
        <v>51</v>
      </c>
      <c r="AT17" s="69" t="s">
        <v>877</v>
      </c>
      <c r="AU17" s="69" t="s">
        <v>880</v>
      </c>
      <c r="AY17" s="65" t="s">
        <v>881</v>
      </c>
      <c r="BK17" s="70">
        <f>BK18+BK31+BK33+BK38+BK41+BK43+BK48</f>
        <v>0</v>
      </c>
    </row>
    <row r="18" spans="4:63" s="64" customFormat="1" ht="22.95" customHeight="1">
      <c r="D18" s="65" t="s">
        <v>877</v>
      </c>
      <c r="E18" s="205" t="s">
        <v>51</v>
      </c>
      <c r="F18" s="205" t="s">
        <v>882</v>
      </c>
      <c r="J18" s="206">
        <f>BK18</f>
        <v>0</v>
      </c>
      <c r="P18" s="67">
        <f>SUM(P19:P30)</f>
        <v>174.42799999999997</v>
      </c>
      <c r="R18" s="67">
        <f>SUM(R19:R30)</f>
        <v>16.74</v>
      </c>
      <c r="T18" s="68">
        <f>SUM(T19:T30)</f>
        <v>73.42</v>
      </c>
      <c r="AR18" s="65" t="s">
        <v>51</v>
      </c>
      <c r="AT18" s="69" t="s">
        <v>877</v>
      </c>
      <c r="AU18" s="69" t="s">
        <v>51</v>
      </c>
      <c r="AY18" s="65" t="s">
        <v>881</v>
      </c>
      <c r="BK18" s="70">
        <f>SUM(BK19:BK30)</f>
        <v>0</v>
      </c>
    </row>
    <row r="19" spans="3:65" s="48" customFormat="1" ht="24.15" customHeight="1">
      <c r="C19" s="79" t="s">
        <v>51</v>
      </c>
      <c r="D19" s="79" t="s">
        <v>883</v>
      </c>
      <c r="E19" s="80" t="s">
        <v>884</v>
      </c>
      <c r="F19" s="81" t="s">
        <v>885</v>
      </c>
      <c r="G19" s="82" t="s">
        <v>54</v>
      </c>
      <c r="H19" s="83">
        <v>62</v>
      </c>
      <c r="I19" s="527"/>
      <c r="J19" s="84">
        <f aca="true" t="shared" si="0" ref="J19:J30">ROUND(I19*H19,2)</f>
        <v>0</v>
      </c>
      <c r="K19" s="521"/>
      <c r="L19" s="533" t="s">
        <v>2474</v>
      </c>
      <c r="M19" s="530" t="s">
        <v>854</v>
      </c>
      <c r="N19" s="72" t="s">
        <v>860</v>
      </c>
      <c r="O19" s="73">
        <v>0.344</v>
      </c>
      <c r="P19" s="73">
        <f aca="true" t="shared" si="1" ref="P19:P30">O19*H19</f>
        <v>21.328</v>
      </c>
      <c r="Q19" s="73">
        <v>0</v>
      </c>
      <c r="R19" s="73">
        <f aca="true" t="shared" si="2" ref="R19:R30">Q19*H19</f>
        <v>0</v>
      </c>
      <c r="S19" s="73">
        <v>0.295</v>
      </c>
      <c r="T19" s="74">
        <f aca="true" t="shared" si="3" ref="T19:T30">S19*H19</f>
        <v>18.29</v>
      </c>
      <c r="AR19" s="75" t="s">
        <v>71</v>
      </c>
      <c r="AT19" s="75" t="s">
        <v>883</v>
      </c>
      <c r="AU19" s="75" t="s">
        <v>63</v>
      </c>
      <c r="AY19" s="47" t="s">
        <v>881</v>
      </c>
      <c r="BE19" s="76">
        <f aca="true" t="shared" si="4" ref="BE19:BE30">IF(N19="základní",J19,0)</f>
        <v>0</v>
      </c>
      <c r="BF19" s="76">
        <f aca="true" t="shared" si="5" ref="BF19:BF30">IF(N19="snížená",J19,0)</f>
        <v>0</v>
      </c>
      <c r="BG19" s="76">
        <f aca="true" t="shared" si="6" ref="BG19:BG30">IF(N19="zákl. přenesená",J19,0)</f>
        <v>0</v>
      </c>
      <c r="BH19" s="76">
        <f aca="true" t="shared" si="7" ref="BH19:BH30">IF(N19="sníž. přenesená",J19,0)</f>
        <v>0</v>
      </c>
      <c r="BI19" s="76">
        <f aca="true" t="shared" si="8" ref="BI19:BI30">IF(N19="nulová",J19,0)</f>
        <v>0</v>
      </c>
      <c r="BJ19" s="47" t="s">
        <v>51</v>
      </c>
      <c r="BK19" s="76">
        <f aca="true" t="shared" si="9" ref="BK19:BK30">ROUND(I19*H19,2)</f>
        <v>0</v>
      </c>
      <c r="BL19" s="47" t="s">
        <v>71</v>
      </c>
      <c r="BM19" s="75" t="s">
        <v>1809</v>
      </c>
    </row>
    <row r="20" spans="3:65" s="48" customFormat="1" ht="33" customHeight="1">
      <c r="C20" s="79" t="s">
        <v>63</v>
      </c>
      <c r="D20" s="79" t="s">
        <v>883</v>
      </c>
      <c r="E20" s="80" t="s">
        <v>887</v>
      </c>
      <c r="F20" s="81" t="s">
        <v>888</v>
      </c>
      <c r="G20" s="82" t="s">
        <v>54</v>
      </c>
      <c r="H20" s="83">
        <v>62</v>
      </c>
      <c r="I20" s="527"/>
      <c r="J20" s="84">
        <f t="shared" si="0"/>
        <v>0</v>
      </c>
      <c r="K20" s="521"/>
      <c r="L20" s="533" t="s">
        <v>2474</v>
      </c>
      <c r="M20" s="530" t="s">
        <v>854</v>
      </c>
      <c r="N20" s="72" t="s">
        <v>860</v>
      </c>
      <c r="O20" s="73">
        <v>0.16</v>
      </c>
      <c r="P20" s="73">
        <f t="shared" si="1"/>
        <v>9.92</v>
      </c>
      <c r="Q20" s="73">
        <v>0</v>
      </c>
      <c r="R20" s="73">
        <f t="shared" si="2"/>
        <v>0</v>
      </c>
      <c r="S20" s="73">
        <v>0.5</v>
      </c>
      <c r="T20" s="74">
        <f t="shared" si="3"/>
        <v>31</v>
      </c>
      <c r="AR20" s="75" t="s">
        <v>71</v>
      </c>
      <c r="AT20" s="75" t="s">
        <v>883</v>
      </c>
      <c r="AU20" s="75" t="s">
        <v>63</v>
      </c>
      <c r="AY20" s="47" t="s">
        <v>881</v>
      </c>
      <c r="BE20" s="76">
        <f t="shared" si="4"/>
        <v>0</v>
      </c>
      <c r="BF20" s="76">
        <f t="shared" si="5"/>
        <v>0</v>
      </c>
      <c r="BG20" s="76">
        <f t="shared" si="6"/>
        <v>0</v>
      </c>
      <c r="BH20" s="76">
        <f t="shared" si="7"/>
        <v>0</v>
      </c>
      <c r="BI20" s="76">
        <f t="shared" si="8"/>
        <v>0</v>
      </c>
      <c r="BJ20" s="47" t="s">
        <v>51</v>
      </c>
      <c r="BK20" s="76">
        <f t="shared" si="9"/>
        <v>0</v>
      </c>
      <c r="BL20" s="47" t="s">
        <v>71</v>
      </c>
      <c r="BM20" s="75" t="s">
        <v>1810</v>
      </c>
    </row>
    <row r="21" spans="3:65" s="48" customFormat="1" ht="33" customHeight="1">
      <c r="C21" s="79" t="s">
        <v>67</v>
      </c>
      <c r="D21" s="79" t="s">
        <v>883</v>
      </c>
      <c r="E21" s="80" t="s">
        <v>890</v>
      </c>
      <c r="F21" s="81" t="s">
        <v>891</v>
      </c>
      <c r="G21" s="82" t="s">
        <v>54</v>
      </c>
      <c r="H21" s="83">
        <v>62</v>
      </c>
      <c r="I21" s="527"/>
      <c r="J21" s="84">
        <f t="shared" si="0"/>
        <v>0</v>
      </c>
      <c r="K21" s="521"/>
      <c r="L21" s="533" t="s">
        <v>2474</v>
      </c>
      <c r="M21" s="530" t="s">
        <v>854</v>
      </c>
      <c r="N21" s="72" t="s">
        <v>860</v>
      </c>
      <c r="O21" s="73">
        <v>0.155</v>
      </c>
      <c r="P21" s="73">
        <f t="shared" si="1"/>
        <v>9.61</v>
      </c>
      <c r="Q21" s="73">
        <v>0</v>
      </c>
      <c r="R21" s="73">
        <f t="shared" si="2"/>
        <v>0</v>
      </c>
      <c r="S21" s="73">
        <v>0.29</v>
      </c>
      <c r="T21" s="74">
        <f t="shared" si="3"/>
        <v>17.98</v>
      </c>
      <c r="AR21" s="75" t="s">
        <v>71</v>
      </c>
      <c r="AT21" s="75" t="s">
        <v>883</v>
      </c>
      <c r="AU21" s="75" t="s">
        <v>63</v>
      </c>
      <c r="AY21" s="47" t="s">
        <v>881</v>
      </c>
      <c r="BE21" s="76">
        <f t="shared" si="4"/>
        <v>0</v>
      </c>
      <c r="BF21" s="76">
        <f t="shared" si="5"/>
        <v>0</v>
      </c>
      <c r="BG21" s="76">
        <f t="shared" si="6"/>
        <v>0</v>
      </c>
      <c r="BH21" s="76">
        <f t="shared" si="7"/>
        <v>0</v>
      </c>
      <c r="BI21" s="76">
        <f t="shared" si="8"/>
        <v>0</v>
      </c>
      <c r="BJ21" s="47" t="s">
        <v>51</v>
      </c>
      <c r="BK21" s="76">
        <f t="shared" si="9"/>
        <v>0</v>
      </c>
      <c r="BL21" s="47" t="s">
        <v>71</v>
      </c>
      <c r="BM21" s="75" t="s">
        <v>1811</v>
      </c>
    </row>
    <row r="22" spans="3:65" s="48" customFormat="1" ht="16.5" customHeight="1">
      <c r="C22" s="79" t="s">
        <v>71</v>
      </c>
      <c r="D22" s="79" t="s">
        <v>883</v>
      </c>
      <c r="E22" s="80" t="s">
        <v>1812</v>
      </c>
      <c r="F22" s="81" t="s">
        <v>1813</v>
      </c>
      <c r="G22" s="82" t="s">
        <v>74</v>
      </c>
      <c r="H22" s="83">
        <v>30</v>
      </c>
      <c r="I22" s="527"/>
      <c r="J22" s="84">
        <f t="shared" si="0"/>
        <v>0</v>
      </c>
      <c r="K22" s="521"/>
      <c r="L22" s="533" t="s">
        <v>2474</v>
      </c>
      <c r="M22" s="530" t="s">
        <v>854</v>
      </c>
      <c r="N22" s="72" t="s">
        <v>860</v>
      </c>
      <c r="O22" s="73">
        <v>0.133</v>
      </c>
      <c r="P22" s="73">
        <f t="shared" si="1"/>
        <v>3.99</v>
      </c>
      <c r="Q22" s="73">
        <v>0</v>
      </c>
      <c r="R22" s="73">
        <f t="shared" si="2"/>
        <v>0</v>
      </c>
      <c r="S22" s="73">
        <v>0.205</v>
      </c>
      <c r="T22" s="74">
        <f t="shared" si="3"/>
        <v>6.1499999999999995</v>
      </c>
      <c r="AR22" s="75" t="s">
        <v>71</v>
      </c>
      <c r="AT22" s="75" t="s">
        <v>883</v>
      </c>
      <c r="AU22" s="75" t="s">
        <v>63</v>
      </c>
      <c r="AY22" s="47" t="s">
        <v>881</v>
      </c>
      <c r="BE22" s="76">
        <f t="shared" si="4"/>
        <v>0</v>
      </c>
      <c r="BF22" s="76">
        <f t="shared" si="5"/>
        <v>0</v>
      </c>
      <c r="BG22" s="76">
        <f t="shared" si="6"/>
        <v>0</v>
      </c>
      <c r="BH22" s="76">
        <f t="shared" si="7"/>
        <v>0</v>
      </c>
      <c r="BI22" s="76">
        <f t="shared" si="8"/>
        <v>0</v>
      </c>
      <c r="BJ22" s="47" t="s">
        <v>51</v>
      </c>
      <c r="BK22" s="76">
        <f t="shared" si="9"/>
        <v>0</v>
      </c>
      <c r="BL22" s="47" t="s">
        <v>71</v>
      </c>
      <c r="BM22" s="75" t="s">
        <v>1814</v>
      </c>
    </row>
    <row r="23" spans="3:65" s="48" customFormat="1" ht="33" customHeight="1">
      <c r="C23" s="79" t="s">
        <v>78</v>
      </c>
      <c r="D23" s="79" t="s">
        <v>883</v>
      </c>
      <c r="E23" s="80" t="s">
        <v>1815</v>
      </c>
      <c r="F23" s="81" t="s">
        <v>1816</v>
      </c>
      <c r="G23" s="82" t="s">
        <v>81</v>
      </c>
      <c r="H23" s="83">
        <v>80.6</v>
      </c>
      <c r="I23" s="527"/>
      <c r="J23" s="84">
        <f t="shared" si="0"/>
        <v>0</v>
      </c>
      <c r="K23" s="521"/>
      <c r="L23" s="533" t="s">
        <v>2474</v>
      </c>
      <c r="M23" s="530" t="s">
        <v>854</v>
      </c>
      <c r="N23" s="72" t="s">
        <v>860</v>
      </c>
      <c r="O23" s="73">
        <v>0.597</v>
      </c>
      <c r="P23" s="73">
        <f t="shared" si="1"/>
        <v>48.118199999999995</v>
      </c>
      <c r="Q23" s="73">
        <v>0</v>
      </c>
      <c r="R23" s="73">
        <f t="shared" si="2"/>
        <v>0</v>
      </c>
      <c r="S23" s="73">
        <v>0</v>
      </c>
      <c r="T23" s="74">
        <f t="shared" si="3"/>
        <v>0</v>
      </c>
      <c r="AR23" s="75" t="s">
        <v>71</v>
      </c>
      <c r="AT23" s="75" t="s">
        <v>883</v>
      </c>
      <c r="AU23" s="75" t="s">
        <v>63</v>
      </c>
      <c r="AY23" s="47" t="s">
        <v>881</v>
      </c>
      <c r="BE23" s="76">
        <f t="shared" si="4"/>
        <v>0</v>
      </c>
      <c r="BF23" s="76">
        <f t="shared" si="5"/>
        <v>0</v>
      </c>
      <c r="BG23" s="76">
        <f t="shared" si="6"/>
        <v>0</v>
      </c>
      <c r="BH23" s="76">
        <f t="shared" si="7"/>
        <v>0</v>
      </c>
      <c r="BI23" s="76">
        <f t="shared" si="8"/>
        <v>0</v>
      </c>
      <c r="BJ23" s="47" t="s">
        <v>51</v>
      </c>
      <c r="BK23" s="76">
        <f t="shared" si="9"/>
        <v>0</v>
      </c>
      <c r="BL23" s="47" t="s">
        <v>71</v>
      </c>
      <c r="BM23" s="75" t="s">
        <v>1817</v>
      </c>
    </row>
    <row r="24" spans="3:65" s="48" customFormat="1" ht="37.95" customHeight="1">
      <c r="C24" s="79" t="s">
        <v>85</v>
      </c>
      <c r="D24" s="79" t="s">
        <v>883</v>
      </c>
      <c r="E24" s="80" t="s">
        <v>905</v>
      </c>
      <c r="F24" s="81" t="s">
        <v>906</v>
      </c>
      <c r="G24" s="82" t="s">
        <v>81</v>
      </c>
      <c r="H24" s="83">
        <v>24.8</v>
      </c>
      <c r="I24" s="527"/>
      <c r="J24" s="84">
        <f t="shared" si="0"/>
        <v>0</v>
      </c>
      <c r="K24" s="521"/>
      <c r="L24" s="533" t="s">
        <v>2474</v>
      </c>
      <c r="M24" s="530" t="s">
        <v>854</v>
      </c>
      <c r="N24" s="72" t="s">
        <v>860</v>
      </c>
      <c r="O24" s="73">
        <v>0.063</v>
      </c>
      <c r="P24" s="73">
        <f t="shared" si="1"/>
        <v>1.5624</v>
      </c>
      <c r="Q24" s="73">
        <v>0</v>
      </c>
      <c r="R24" s="73">
        <f t="shared" si="2"/>
        <v>0</v>
      </c>
      <c r="S24" s="73">
        <v>0</v>
      </c>
      <c r="T24" s="74">
        <f t="shared" si="3"/>
        <v>0</v>
      </c>
      <c r="AR24" s="75" t="s">
        <v>71</v>
      </c>
      <c r="AT24" s="75" t="s">
        <v>883</v>
      </c>
      <c r="AU24" s="75" t="s">
        <v>63</v>
      </c>
      <c r="AY24" s="47" t="s">
        <v>881</v>
      </c>
      <c r="BE24" s="76">
        <f t="shared" si="4"/>
        <v>0</v>
      </c>
      <c r="BF24" s="76">
        <f t="shared" si="5"/>
        <v>0</v>
      </c>
      <c r="BG24" s="76">
        <f t="shared" si="6"/>
        <v>0</v>
      </c>
      <c r="BH24" s="76">
        <f t="shared" si="7"/>
        <v>0</v>
      </c>
      <c r="BI24" s="76">
        <f t="shared" si="8"/>
        <v>0</v>
      </c>
      <c r="BJ24" s="47" t="s">
        <v>51</v>
      </c>
      <c r="BK24" s="76">
        <f t="shared" si="9"/>
        <v>0</v>
      </c>
      <c r="BL24" s="47" t="s">
        <v>71</v>
      </c>
      <c r="BM24" s="75" t="s">
        <v>1818</v>
      </c>
    </row>
    <row r="25" spans="3:65" s="48" customFormat="1" ht="37.95" customHeight="1">
      <c r="C25" s="79" t="s">
        <v>89</v>
      </c>
      <c r="D25" s="79" t="s">
        <v>883</v>
      </c>
      <c r="E25" s="80" t="s">
        <v>908</v>
      </c>
      <c r="F25" s="81" t="s">
        <v>909</v>
      </c>
      <c r="G25" s="82" t="s">
        <v>81</v>
      </c>
      <c r="H25" s="83">
        <v>24.8</v>
      </c>
      <c r="I25" s="527"/>
      <c r="J25" s="84">
        <f t="shared" si="0"/>
        <v>0</v>
      </c>
      <c r="K25" s="521"/>
      <c r="L25" s="533" t="s">
        <v>2474</v>
      </c>
      <c r="M25" s="530" t="s">
        <v>854</v>
      </c>
      <c r="N25" s="72" t="s">
        <v>860</v>
      </c>
      <c r="O25" s="73">
        <v>0.005</v>
      </c>
      <c r="P25" s="73">
        <f t="shared" si="1"/>
        <v>0.12400000000000001</v>
      </c>
      <c r="Q25" s="73">
        <v>0</v>
      </c>
      <c r="R25" s="73">
        <f t="shared" si="2"/>
        <v>0</v>
      </c>
      <c r="S25" s="73">
        <v>0</v>
      </c>
      <c r="T25" s="74">
        <f t="shared" si="3"/>
        <v>0</v>
      </c>
      <c r="AR25" s="75" t="s">
        <v>71</v>
      </c>
      <c r="AT25" s="75" t="s">
        <v>883</v>
      </c>
      <c r="AU25" s="75" t="s">
        <v>63</v>
      </c>
      <c r="AY25" s="47" t="s">
        <v>881</v>
      </c>
      <c r="BE25" s="76">
        <f t="shared" si="4"/>
        <v>0</v>
      </c>
      <c r="BF25" s="76">
        <f t="shared" si="5"/>
        <v>0</v>
      </c>
      <c r="BG25" s="76">
        <f t="shared" si="6"/>
        <v>0</v>
      </c>
      <c r="BH25" s="76">
        <f t="shared" si="7"/>
        <v>0</v>
      </c>
      <c r="BI25" s="76">
        <f t="shared" si="8"/>
        <v>0</v>
      </c>
      <c r="BJ25" s="47" t="s">
        <v>51</v>
      </c>
      <c r="BK25" s="76">
        <f t="shared" si="9"/>
        <v>0</v>
      </c>
      <c r="BL25" s="47" t="s">
        <v>71</v>
      </c>
      <c r="BM25" s="75" t="s">
        <v>1819</v>
      </c>
    </row>
    <row r="26" spans="3:65" s="48" customFormat="1" ht="24.15" customHeight="1">
      <c r="C26" s="79" t="s">
        <v>94</v>
      </c>
      <c r="D26" s="79" t="s">
        <v>883</v>
      </c>
      <c r="E26" s="80" t="s">
        <v>911</v>
      </c>
      <c r="F26" s="81" t="s">
        <v>912</v>
      </c>
      <c r="G26" s="82" t="s">
        <v>81</v>
      </c>
      <c r="H26" s="83">
        <v>24.8</v>
      </c>
      <c r="I26" s="527"/>
      <c r="J26" s="84">
        <f t="shared" si="0"/>
        <v>0</v>
      </c>
      <c r="K26" s="521"/>
      <c r="L26" s="533" t="s">
        <v>2474</v>
      </c>
      <c r="M26" s="530" t="s">
        <v>854</v>
      </c>
      <c r="N26" s="72" t="s">
        <v>860</v>
      </c>
      <c r="O26" s="73">
        <v>1.137</v>
      </c>
      <c r="P26" s="73">
        <f t="shared" si="1"/>
        <v>28.1976</v>
      </c>
      <c r="Q26" s="73">
        <v>0</v>
      </c>
      <c r="R26" s="73">
        <f t="shared" si="2"/>
        <v>0</v>
      </c>
      <c r="S26" s="73">
        <v>0</v>
      </c>
      <c r="T26" s="74">
        <f t="shared" si="3"/>
        <v>0</v>
      </c>
      <c r="AR26" s="75" t="s">
        <v>71</v>
      </c>
      <c r="AT26" s="75" t="s">
        <v>883</v>
      </c>
      <c r="AU26" s="75" t="s">
        <v>63</v>
      </c>
      <c r="AY26" s="47" t="s">
        <v>881</v>
      </c>
      <c r="BE26" s="76">
        <f t="shared" si="4"/>
        <v>0</v>
      </c>
      <c r="BF26" s="76">
        <f t="shared" si="5"/>
        <v>0</v>
      </c>
      <c r="BG26" s="76">
        <f t="shared" si="6"/>
        <v>0</v>
      </c>
      <c r="BH26" s="76">
        <f t="shared" si="7"/>
        <v>0</v>
      </c>
      <c r="BI26" s="76">
        <f t="shared" si="8"/>
        <v>0</v>
      </c>
      <c r="BJ26" s="47" t="s">
        <v>51</v>
      </c>
      <c r="BK26" s="76">
        <f t="shared" si="9"/>
        <v>0</v>
      </c>
      <c r="BL26" s="47" t="s">
        <v>71</v>
      </c>
      <c r="BM26" s="75" t="s">
        <v>1820</v>
      </c>
    </row>
    <row r="27" spans="3:65" s="48" customFormat="1" ht="24.15" customHeight="1">
      <c r="C27" s="79" t="s">
        <v>98</v>
      </c>
      <c r="D27" s="79" t="s">
        <v>883</v>
      </c>
      <c r="E27" s="80" t="s">
        <v>914</v>
      </c>
      <c r="F27" s="81" t="s">
        <v>915</v>
      </c>
      <c r="G27" s="82" t="s">
        <v>125</v>
      </c>
      <c r="H27" s="83">
        <v>44.6</v>
      </c>
      <c r="I27" s="527"/>
      <c r="J27" s="84">
        <f t="shared" si="0"/>
        <v>0</v>
      </c>
      <c r="K27" s="521"/>
      <c r="L27" s="533" t="s">
        <v>2474</v>
      </c>
      <c r="M27" s="530" t="s">
        <v>854</v>
      </c>
      <c r="N27" s="72" t="s">
        <v>860</v>
      </c>
      <c r="O27" s="73">
        <v>0</v>
      </c>
      <c r="P27" s="73">
        <f t="shared" si="1"/>
        <v>0</v>
      </c>
      <c r="Q27" s="73">
        <v>0</v>
      </c>
      <c r="R27" s="73">
        <f t="shared" si="2"/>
        <v>0</v>
      </c>
      <c r="S27" s="73">
        <v>0</v>
      </c>
      <c r="T27" s="74">
        <f t="shared" si="3"/>
        <v>0</v>
      </c>
      <c r="AR27" s="75" t="s">
        <v>71</v>
      </c>
      <c r="AT27" s="75" t="s">
        <v>883</v>
      </c>
      <c r="AU27" s="75" t="s">
        <v>63</v>
      </c>
      <c r="AY27" s="47" t="s">
        <v>881</v>
      </c>
      <c r="BE27" s="76">
        <f t="shared" si="4"/>
        <v>0</v>
      </c>
      <c r="BF27" s="76">
        <f t="shared" si="5"/>
        <v>0</v>
      </c>
      <c r="BG27" s="76">
        <f t="shared" si="6"/>
        <v>0</v>
      </c>
      <c r="BH27" s="76">
        <f t="shared" si="7"/>
        <v>0</v>
      </c>
      <c r="BI27" s="76">
        <f t="shared" si="8"/>
        <v>0</v>
      </c>
      <c r="BJ27" s="47" t="s">
        <v>51</v>
      </c>
      <c r="BK27" s="76">
        <f t="shared" si="9"/>
        <v>0</v>
      </c>
      <c r="BL27" s="47" t="s">
        <v>71</v>
      </c>
      <c r="BM27" s="75" t="s">
        <v>1821</v>
      </c>
    </row>
    <row r="28" spans="3:65" s="48" customFormat="1" ht="24.15" customHeight="1">
      <c r="C28" s="79" t="s">
        <v>104</v>
      </c>
      <c r="D28" s="79" t="s">
        <v>883</v>
      </c>
      <c r="E28" s="80" t="s">
        <v>917</v>
      </c>
      <c r="F28" s="81" t="s">
        <v>918</v>
      </c>
      <c r="G28" s="82" t="s">
        <v>81</v>
      </c>
      <c r="H28" s="83">
        <v>55.8</v>
      </c>
      <c r="I28" s="527"/>
      <c r="J28" s="84">
        <f t="shared" si="0"/>
        <v>0</v>
      </c>
      <c r="K28" s="521"/>
      <c r="L28" s="533" t="s">
        <v>2474</v>
      </c>
      <c r="M28" s="530" t="s">
        <v>854</v>
      </c>
      <c r="N28" s="72" t="s">
        <v>860</v>
      </c>
      <c r="O28" s="73">
        <v>0.328</v>
      </c>
      <c r="P28" s="73">
        <f t="shared" si="1"/>
        <v>18.3024</v>
      </c>
      <c r="Q28" s="73">
        <v>0</v>
      </c>
      <c r="R28" s="73">
        <f t="shared" si="2"/>
        <v>0</v>
      </c>
      <c r="S28" s="73">
        <v>0</v>
      </c>
      <c r="T28" s="74">
        <f t="shared" si="3"/>
        <v>0</v>
      </c>
      <c r="AR28" s="75" t="s">
        <v>71</v>
      </c>
      <c r="AT28" s="75" t="s">
        <v>883</v>
      </c>
      <c r="AU28" s="75" t="s">
        <v>63</v>
      </c>
      <c r="AY28" s="47" t="s">
        <v>881</v>
      </c>
      <c r="BE28" s="76">
        <f t="shared" si="4"/>
        <v>0</v>
      </c>
      <c r="BF28" s="76">
        <f t="shared" si="5"/>
        <v>0</v>
      </c>
      <c r="BG28" s="76">
        <f t="shared" si="6"/>
        <v>0</v>
      </c>
      <c r="BH28" s="76">
        <f t="shared" si="7"/>
        <v>0</v>
      </c>
      <c r="BI28" s="76">
        <f t="shared" si="8"/>
        <v>0</v>
      </c>
      <c r="BJ28" s="47" t="s">
        <v>51</v>
      </c>
      <c r="BK28" s="76">
        <f t="shared" si="9"/>
        <v>0</v>
      </c>
      <c r="BL28" s="47" t="s">
        <v>71</v>
      </c>
      <c r="BM28" s="75" t="s">
        <v>1822</v>
      </c>
    </row>
    <row r="29" spans="3:65" s="48" customFormat="1" ht="24.15" customHeight="1">
      <c r="C29" s="79" t="s">
        <v>49</v>
      </c>
      <c r="D29" s="79" t="s">
        <v>883</v>
      </c>
      <c r="E29" s="80" t="s">
        <v>920</v>
      </c>
      <c r="F29" s="81" t="s">
        <v>921</v>
      </c>
      <c r="G29" s="82" t="s">
        <v>81</v>
      </c>
      <c r="H29" s="83">
        <v>18.6</v>
      </c>
      <c r="I29" s="527"/>
      <c r="J29" s="84">
        <f t="shared" si="0"/>
        <v>0</v>
      </c>
      <c r="K29" s="521"/>
      <c r="L29" s="533" t="s">
        <v>2474</v>
      </c>
      <c r="M29" s="530" t="s">
        <v>854</v>
      </c>
      <c r="N29" s="72" t="s">
        <v>860</v>
      </c>
      <c r="O29" s="73">
        <v>1.789</v>
      </c>
      <c r="P29" s="73">
        <f t="shared" si="1"/>
        <v>33.2754</v>
      </c>
      <c r="Q29" s="73">
        <v>0</v>
      </c>
      <c r="R29" s="73">
        <f t="shared" si="2"/>
        <v>0</v>
      </c>
      <c r="S29" s="73">
        <v>0</v>
      </c>
      <c r="T29" s="74">
        <f t="shared" si="3"/>
        <v>0</v>
      </c>
      <c r="AR29" s="75" t="s">
        <v>71</v>
      </c>
      <c r="AT29" s="75" t="s">
        <v>883</v>
      </c>
      <c r="AU29" s="75" t="s">
        <v>63</v>
      </c>
      <c r="AY29" s="47" t="s">
        <v>881</v>
      </c>
      <c r="BE29" s="76">
        <f t="shared" si="4"/>
        <v>0</v>
      </c>
      <c r="BF29" s="76">
        <f t="shared" si="5"/>
        <v>0</v>
      </c>
      <c r="BG29" s="76">
        <f t="shared" si="6"/>
        <v>0</v>
      </c>
      <c r="BH29" s="76">
        <f t="shared" si="7"/>
        <v>0</v>
      </c>
      <c r="BI29" s="76">
        <f t="shared" si="8"/>
        <v>0</v>
      </c>
      <c r="BJ29" s="47" t="s">
        <v>51</v>
      </c>
      <c r="BK29" s="76">
        <f t="shared" si="9"/>
        <v>0</v>
      </c>
      <c r="BL29" s="47" t="s">
        <v>71</v>
      </c>
      <c r="BM29" s="75" t="s">
        <v>1823</v>
      </c>
    </row>
    <row r="30" spans="3:65" s="48" customFormat="1" ht="16.5" customHeight="1">
      <c r="C30" s="85" t="s">
        <v>76</v>
      </c>
      <c r="D30" s="85" t="s">
        <v>201</v>
      </c>
      <c r="E30" s="86" t="s">
        <v>923</v>
      </c>
      <c r="F30" s="87" t="s">
        <v>924</v>
      </c>
      <c r="G30" s="88" t="s">
        <v>125</v>
      </c>
      <c r="H30" s="89">
        <v>16.74</v>
      </c>
      <c r="I30" s="528"/>
      <c r="J30" s="90">
        <f t="shared" si="0"/>
        <v>0</v>
      </c>
      <c r="K30" s="522"/>
      <c r="L30" s="533" t="s">
        <v>2474</v>
      </c>
      <c r="M30" s="531" t="s">
        <v>854</v>
      </c>
      <c r="N30" s="78" t="s">
        <v>860</v>
      </c>
      <c r="O30" s="73">
        <v>0</v>
      </c>
      <c r="P30" s="73">
        <f t="shared" si="1"/>
        <v>0</v>
      </c>
      <c r="Q30" s="73">
        <v>1</v>
      </c>
      <c r="R30" s="73">
        <f t="shared" si="2"/>
        <v>16.74</v>
      </c>
      <c r="S30" s="73">
        <v>0</v>
      </c>
      <c r="T30" s="74">
        <f t="shared" si="3"/>
        <v>0</v>
      </c>
      <c r="AR30" s="75" t="s">
        <v>94</v>
      </c>
      <c r="AT30" s="75" t="s">
        <v>201</v>
      </c>
      <c r="AU30" s="75" t="s">
        <v>63</v>
      </c>
      <c r="AY30" s="47" t="s">
        <v>881</v>
      </c>
      <c r="BE30" s="76">
        <f t="shared" si="4"/>
        <v>0</v>
      </c>
      <c r="BF30" s="76">
        <f t="shared" si="5"/>
        <v>0</v>
      </c>
      <c r="BG30" s="76">
        <f t="shared" si="6"/>
        <v>0</v>
      </c>
      <c r="BH30" s="76">
        <f t="shared" si="7"/>
        <v>0</v>
      </c>
      <c r="BI30" s="76">
        <f t="shared" si="8"/>
        <v>0</v>
      </c>
      <c r="BJ30" s="47" t="s">
        <v>51</v>
      </c>
      <c r="BK30" s="76">
        <f t="shared" si="9"/>
        <v>0</v>
      </c>
      <c r="BL30" s="47" t="s">
        <v>71</v>
      </c>
      <c r="BM30" s="75" t="s">
        <v>1824</v>
      </c>
    </row>
    <row r="31" spans="4:63" s="64" customFormat="1" ht="22.95" customHeight="1">
      <c r="D31" s="65" t="s">
        <v>877</v>
      </c>
      <c r="E31" s="205" t="s">
        <v>71</v>
      </c>
      <c r="F31" s="205" t="s">
        <v>926</v>
      </c>
      <c r="J31" s="206">
        <f>BK31</f>
        <v>0</v>
      </c>
      <c r="P31" s="67">
        <f>P32</f>
        <v>10.509</v>
      </c>
      <c r="R31" s="67">
        <f>R32</f>
        <v>0</v>
      </c>
      <c r="T31" s="68">
        <f>T32</f>
        <v>0</v>
      </c>
      <c r="AR31" s="65" t="s">
        <v>51</v>
      </c>
      <c r="AT31" s="69" t="s">
        <v>877</v>
      </c>
      <c r="AU31" s="69" t="s">
        <v>51</v>
      </c>
      <c r="AY31" s="65" t="s">
        <v>881</v>
      </c>
      <c r="BK31" s="70">
        <f>BK32</f>
        <v>0</v>
      </c>
    </row>
    <row r="32" spans="3:65" s="48" customFormat="1" ht="24.15" customHeight="1">
      <c r="C32" s="79" t="s">
        <v>75</v>
      </c>
      <c r="D32" s="79" t="s">
        <v>883</v>
      </c>
      <c r="E32" s="80" t="s">
        <v>927</v>
      </c>
      <c r="F32" s="81" t="s">
        <v>928</v>
      </c>
      <c r="G32" s="82" t="s">
        <v>81</v>
      </c>
      <c r="H32" s="83">
        <v>6.2</v>
      </c>
      <c r="I32" s="527"/>
      <c r="J32" s="84">
        <f>ROUND(I32*H32,2)</f>
        <v>0</v>
      </c>
      <c r="K32" s="521"/>
      <c r="L32" s="533" t="s">
        <v>2474</v>
      </c>
      <c r="M32" s="530" t="s">
        <v>854</v>
      </c>
      <c r="N32" s="72" t="s">
        <v>860</v>
      </c>
      <c r="O32" s="73">
        <v>1.695</v>
      </c>
      <c r="P32" s="73">
        <f>O32*H32</f>
        <v>10.509</v>
      </c>
      <c r="Q32" s="73">
        <v>0</v>
      </c>
      <c r="R32" s="73">
        <f>Q32*H32</f>
        <v>0</v>
      </c>
      <c r="S32" s="73">
        <v>0</v>
      </c>
      <c r="T32" s="74">
        <f>S32*H32</f>
        <v>0</v>
      </c>
      <c r="AR32" s="75" t="s">
        <v>71</v>
      </c>
      <c r="AT32" s="75" t="s">
        <v>883</v>
      </c>
      <c r="AU32" s="75" t="s">
        <v>63</v>
      </c>
      <c r="AY32" s="47" t="s">
        <v>881</v>
      </c>
      <c r="BE32" s="76">
        <f>IF(N32="základní",J32,0)</f>
        <v>0</v>
      </c>
      <c r="BF32" s="76">
        <f>IF(N32="snížená",J32,0)</f>
        <v>0</v>
      </c>
      <c r="BG32" s="76">
        <f>IF(N32="zákl. přenesená",J32,0)</f>
        <v>0</v>
      </c>
      <c r="BH32" s="76">
        <f>IF(N32="sníž. přenesená",J32,0)</f>
        <v>0</v>
      </c>
      <c r="BI32" s="76">
        <f>IF(N32="nulová",J32,0)</f>
        <v>0</v>
      </c>
      <c r="BJ32" s="47" t="s">
        <v>51</v>
      </c>
      <c r="BK32" s="76">
        <f>ROUND(I32*H32,2)</f>
        <v>0</v>
      </c>
      <c r="BL32" s="47" t="s">
        <v>71</v>
      </c>
      <c r="BM32" s="75" t="s">
        <v>1825</v>
      </c>
    </row>
    <row r="33" spans="4:63" s="64" customFormat="1" ht="22.95" customHeight="1">
      <c r="D33" s="65" t="s">
        <v>877</v>
      </c>
      <c r="E33" s="205" t="s">
        <v>78</v>
      </c>
      <c r="F33" s="205" t="s">
        <v>933</v>
      </c>
      <c r="J33" s="206">
        <f>BK33</f>
        <v>0</v>
      </c>
      <c r="P33" s="67">
        <f>SUM(P34:P37)</f>
        <v>208.63</v>
      </c>
      <c r="R33" s="67">
        <f>SUM(R34:R37)</f>
        <v>118.66118</v>
      </c>
      <c r="T33" s="68">
        <f>SUM(T34:T37)</f>
        <v>0</v>
      </c>
      <c r="AR33" s="65" t="s">
        <v>51</v>
      </c>
      <c r="AT33" s="69" t="s">
        <v>877</v>
      </c>
      <c r="AU33" s="69" t="s">
        <v>51</v>
      </c>
      <c r="AY33" s="65" t="s">
        <v>881</v>
      </c>
      <c r="BK33" s="70">
        <f>SUM(BK34:BK37)</f>
        <v>0</v>
      </c>
    </row>
    <row r="34" spans="3:65" s="48" customFormat="1" ht="24.15" customHeight="1">
      <c r="C34" s="79" t="s">
        <v>128</v>
      </c>
      <c r="D34" s="79" t="s">
        <v>883</v>
      </c>
      <c r="E34" s="80" t="s">
        <v>934</v>
      </c>
      <c r="F34" s="81" t="s">
        <v>935</v>
      </c>
      <c r="G34" s="82" t="s">
        <v>54</v>
      </c>
      <c r="H34" s="83">
        <v>62</v>
      </c>
      <c r="I34" s="527"/>
      <c r="J34" s="84">
        <f>ROUND(I34*H34,2)</f>
        <v>0</v>
      </c>
      <c r="K34" s="521"/>
      <c r="L34" s="533" t="s">
        <v>2474</v>
      </c>
      <c r="M34" s="530" t="s">
        <v>854</v>
      </c>
      <c r="N34" s="72" t="s">
        <v>860</v>
      </c>
      <c r="O34" s="73">
        <v>0.117</v>
      </c>
      <c r="P34" s="73">
        <f>O34*H34</f>
        <v>7.2540000000000004</v>
      </c>
      <c r="Q34" s="73">
        <v>0.23</v>
      </c>
      <c r="R34" s="73">
        <f>Q34*H34</f>
        <v>14.26</v>
      </c>
      <c r="S34" s="73">
        <v>0</v>
      </c>
      <c r="T34" s="74">
        <f>S34*H34</f>
        <v>0</v>
      </c>
      <c r="AR34" s="75" t="s">
        <v>71</v>
      </c>
      <c r="AT34" s="75" t="s">
        <v>883</v>
      </c>
      <c r="AU34" s="75" t="s">
        <v>63</v>
      </c>
      <c r="AY34" s="47" t="s">
        <v>881</v>
      </c>
      <c r="BE34" s="76">
        <f>IF(N34="základní",J34,0)</f>
        <v>0</v>
      </c>
      <c r="BF34" s="76">
        <f>IF(N34="snížená",J34,0)</f>
        <v>0</v>
      </c>
      <c r="BG34" s="76">
        <f>IF(N34="zákl. přenesená",J34,0)</f>
        <v>0</v>
      </c>
      <c r="BH34" s="76">
        <f>IF(N34="sníž. přenesená",J34,0)</f>
        <v>0</v>
      </c>
      <c r="BI34" s="76">
        <f>IF(N34="nulová",J34,0)</f>
        <v>0</v>
      </c>
      <c r="BJ34" s="47" t="s">
        <v>51</v>
      </c>
      <c r="BK34" s="76">
        <f>ROUND(I34*H34,2)</f>
        <v>0</v>
      </c>
      <c r="BL34" s="47" t="s">
        <v>71</v>
      </c>
      <c r="BM34" s="75" t="s">
        <v>1826</v>
      </c>
    </row>
    <row r="35" spans="3:65" s="48" customFormat="1" ht="24.15" customHeight="1">
      <c r="C35" s="79" t="s">
        <v>66</v>
      </c>
      <c r="D35" s="79" t="s">
        <v>883</v>
      </c>
      <c r="E35" s="80" t="s">
        <v>937</v>
      </c>
      <c r="F35" s="81" t="s">
        <v>938</v>
      </c>
      <c r="G35" s="82" t="s">
        <v>54</v>
      </c>
      <c r="H35" s="83">
        <v>62</v>
      </c>
      <c r="I35" s="527"/>
      <c r="J35" s="84">
        <f>ROUND(I35*H35,2)</f>
        <v>0</v>
      </c>
      <c r="K35" s="521"/>
      <c r="L35" s="533" t="s">
        <v>2474</v>
      </c>
      <c r="M35" s="530" t="s">
        <v>854</v>
      </c>
      <c r="N35" s="72" t="s">
        <v>860</v>
      </c>
      <c r="O35" s="73">
        <v>0.107</v>
      </c>
      <c r="P35" s="73">
        <f>O35*H35</f>
        <v>6.6339999999999995</v>
      </c>
      <c r="Q35" s="73">
        <v>0.575</v>
      </c>
      <c r="R35" s="73">
        <f>Q35*H35</f>
        <v>35.65</v>
      </c>
      <c r="S35" s="73">
        <v>0</v>
      </c>
      <c r="T35" s="74">
        <f>S35*H35</f>
        <v>0</v>
      </c>
      <c r="AR35" s="75" t="s">
        <v>71</v>
      </c>
      <c r="AT35" s="75" t="s">
        <v>883</v>
      </c>
      <c r="AU35" s="75" t="s">
        <v>63</v>
      </c>
      <c r="AY35" s="47" t="s">
        <v>881</v>
      </c>
      <c r="BE35" s="76">
        <f>IF(N35="základní",J35,0)</f>
        <v>0</v>
      </c>
      <c r="BF35" s="76">
        <f>IF(N35="snížená",J35,0)</f>
        <v>0</v>
      </c>
      <c r="BG35" s="76">
        <f>IF(N35="zákl. přenesená",J35,0)</f>
        <v>0</v>
      </c>
      <c r="BH35" s="76">
        <f>IF(N35="sníž. přenesená",J35,0)</f>
        <v>0</v>
      </c>
      <c r="BI35" s="76">
        <f>IF(N35="nulová",J35,0)</f>
        <v>0</v>
      </c>
      <c r="BJ35" s="47" t="s">
        <v>51</v>
      </c>
      <c r="BK35" s="76">
        <f>ROUND(I35*H35,2)</f>
        <v>0</v>
      </c>
      <c r="BL35" s="47" t="s">
        <v>71</v>
      </c>
      <c r="BM35" s="75" t="s">
        <v>1827</v>
      </c>
    </row>
    <row r="36" spans="3:65" s="48" customFormat="1" ht="37.95" customHeight="1">
      <c r="C36" s="79" t="s">
        <v>92</v>
      </c>
      <c r="D36" s="79" t="s">
        <v>883</v>
      </c>
      <c r="E36" s="80" t="s">
        <v>943</v>
      </c>
      <c r="F36" s="81" t="s">
        <v>944</v>
      </c>
      <c r="G36" s="82" t="s">
        <v>54</v>
      </c>
      <c r="H36" s="83">
        <v>62</v>
      </c>
      <c r="I36" s="527"/>
      <c r="J36" s="84">
        <f>ROUND(I36*H36,2)</f>
        <v>0</v>
      </c>
      <c r="K36" s="521"/>
      <c r="L36" s="533" t="s">
        <v>2474</v>
      </c>
      <c r="M36" s="530" t="s">
        <v>854</v>
      </c>
      <c r="N36" s="72" t="s">
        <v>860</v>
      </c>
      <c r="O36" s="73">
        <v>0.891</v>
      </c>
      <c r="P36" s="73">
        <f>O36*H36</f>
        <v>55.242000000000004</v>
      </c>
      <c r="Q36" s="73">
        <v>0.49985</v>
      </c>
      <c r="R36" s="73">
        <f>Q36*H36</f>
        <v>30.9907</v>
      </c>
      <c r="S36" s="73">
        <v>0</v>
      </c>
      <c r="T36" s="74">
        <f>S36*H36</f>
        <v>0</v>
      </c>
      <c r="AR36" s="75" t="s">
        <v>71</v>
      </c>
      <c r="AT36" s="75" t="s">
        <v>883</v>
      </c>
      <c r="AU36" s="75" t="s">
        <v>63</v>
      </c>
      <c r="AY36" s="47" t="s">
        <v>881</v>
      </c>
      <c r="BE36" s="76">
        <f>IF(N36="základní",J36,0)</f>
        <v>0</v>
      </c>
      <c r="BF36" s="76">
        <f>IF(N36="snížená",J36,0)</f>
        <v>0</v>
      </c>
      <c r="BG36" s="76">
        <f>IF(N36="zákl. přenesená",J36,0)</f>
        <v>0</v>
      </c>
      <c r="BH36" s="76">
        <f>IF(N36="sníž. přenesená",J36,0)</f>
        <v>0</v>
      </c>
      <c r="BI36" s="76">
        <f>IF(N36="nulová",J36,0)</f>
        <v>0</v>
      </c>
      <c r="BJ36" s="47" t="s">
        <v>51</v>
      </c>
      <c r="BK36" s="76">
        <f>ROUND(I36*H36,2)</f>
        <v>0</v>
      </c>
      <c r="BL36" s="47" t="s">
        <v>71</v>
      </c>
      <c r="BM36" s="75" t="s">
        <v>1828</v>
      </c>
    </row>
    <row r="37" spans="3:65" s="48" customFormat="1" ht="24.15" customHeight="1">
      <c r="C37" s="79" t="s">
        <v>102</v>
      </c>
      <c r="D37" s="79" t="s">
        <v>883</v>
      </c>
      <c r="E37" s="80" t="s">
        <v>949</v>
      </c>
      <c r="F37" s="81" t="s">
        <v>950</v>
      </c>
      <c r="G37" s="82" t="s">
        <v>54</v>
      </c>
      <c r="H37" s="83">
        <v>62</v>
      </c>
      <c r="I37" s="527"/>
      <c r="J37" s="84">
        <f>ROUND(I37*H37,2)</f>
        <v>0</v>
      </c>
      <c r="K37" s="521"/>
      <c r="L37" s="533" t="s">
        <v>2130</v>
      </c>
      <c r="M37" s="530" t="s">
        <v>854</v>
      </c>
      <c r="N37" s="72" t="s">
        <v>860</v>
      </c>
      <c r="O37" s="73">
        <v>2.25</v>
      </c>
      <c r="P37" s="73">
        <f>O37*H37</f>
        <v>139.5</v>
      </c>
      <c r="Q37" s="73">
        <v>0.60904</v>
      </c>
      <c r="R37" s="73">
        <f>Q37*H37</f>
        <v>37.76048</v>
      </c>
      <c r="S37" s="73">
        <v>0</v>
      </c>
      <c r="T37" s="74">
        <f>S37*H37</f>
        <v>0</v>
      </c>
      <c r="AR37" s="75" t="s">
        <v>71</v>
      </c>
      <c r="AT37" s="75" t="s">
        <v>883</v>
      </c>
      <c r="AU37" s="75" t="s">
        <v>63</v>
      </c>
      <c r="AY37" s="47" t="s">
        <v>881</v>
      </c>
      <c r="BE37" s="76">
        <f>IF(N37="základní",J37,0)</f>
        <v>0</v>
      </c>
      <c r="BF37" s="76">
        <f>IF(N37="snížená",J37,0)</f>
        <v>0</v>
      </c>
      <c r="BG37" s="76">
        <f>IF(N37="zákl. přenesená",J37,0)</f>
        <v>0</v>
      </c>
      <c r="BH37" s="76">
        <f>IF(N37="sníž. přenesená",J37,0)</f>
        <v>0</v>
      </c>
      <c r="BI37" s="76">
        <f>IF(N37="nulová",J37,0)</f>
        <v>0</v>
      </c>
      <c r="BJ37" s="47" t="s">
        <v>51</v>
      </c>
      <c r="BK37" s="76">
        <f>ROUND(I37*H37,2)</f>
        <v>0</v>
      </c>
      <c r="BL37" s="47" t="s">
        <v>71</v>
      </c>
      <c r="BM37" s="75" t="s">
        <v>1829</v>
      </c>
    </row>
    <row r="38" spans="4:63" s="64" customFormat="1" ht="22.95" customHeight="1">
      <c r="D38" s="65" t="s">
        <v>877</v>
      </c>
      <c r="E38" s="205" t="s">
        <v>94</v>
      </c>
      <c r="F38" s="205" t="s">
        <v>955</v>
      </c>
      <c r="J38" s="206">
        <f>BK38</f>
        <v>0</v>
      </c>
      <c r="P38" s="67">
        <f>SUM(P39:P40)</f>
        <v>4.898</v>
      </c>
      <c r="R38" s="67">
        <f>SUM(R39:R40)</f>
        <v>0.01736</v>
      </c>
      <c r="T38" s="68">
        <f>SUM(T39:T40)</f>
        <v>0</v>
      </c>
      <c r="AR38" s="65" t="s">
        <v>51</v>
      </c>
      <c r="AT38" s="69" t="s">
        <v>877</v>
      </c>
      <c r="AU38" s="69" t="s">
        <v>51</v>
      </c>
      <c r="AY38" s="65" t="s">
        <v>881</v>
      </c>
      <c r="BK38" s="70">
        <f>SUM(BK39:BK40)</f>
        <v>0</v>
      </c>
    </row>
    <row r="39" spans="3:65" s="48" customFormat="1" ht="21.75" customHeight="1">
      <c r="C39" s="79" t="s">
        <v>114</v>
      </c>
      <c r="D39" s="79" t="s">
        <v>883</v>
      </c>
      <c r="E39" s="80" t="s">
        <v>1129</v>
      </c>
      <c r="F39" s="81" t="s">
        <v>1130</v>
      </c>
      <c r="G39" s="82" t="s">
        <v>74</v>
      </c>
      <c r="H39" s="83">
        <v>62</v>
      </c>
      <c r="I39" s="527"/>
      <c r="J39" s="84">
        <f>ROUND(I39*H39,2)</f>
        <v>0</v>
      </c>
      <c r="K39" s="521"/>
      <c r="L39" s="533" t="s">
        <v>2474</v>
      </c>
      <c r="M39" s="530" t="s">
        <v>854</v>
      </c>
      <c r="N39" s="72" t="s">
        <v>860</v>
      </c>
      <c r="O39" s="73">
        <v>0.054</v>
      </c>
      <c r="P39" s="73">
        <f>O39*H39</f>
        <v>3.348</v>
      </c>
      <c r="Q39" s="73">
        <v>0.00019</v>
      </c>
      <c r="R39" s="73">
        <f>Q39*H39</f>
        <v>0.01178</v>
      </c>
      <c r="S39" s="73">
        <v>0</v>
      </c>
      <c r="T39" s="74">
        <f>S39*H39</f>
        <v>0</v>
      </c>
      <c r="AR39" s="75" t="s">
        <v>71</v>
      </c>
      <c r="AT39" s="75" t="s">
        <v>883</v>
      </c>
      <c r="AU39" s="75" t="s">
        <v>63</v>
      </c>
      <c r="AY39" s="47" t="s">
        <v>881</v>
      </c>
      <c r="BE39" s="76">
        <f>IF(N39="základní",J39,0)</f>
        <v>0</v>
      </c>
      <c r="BF39" s="76">
        <f>IF(N39="snížená",J39,0)</f>
        <v>0</v>
      </c>
      <c r="BG39" s="76">
        <f>IF(N39="zákl. přenesená",J39,0)</f>
        <v>0</v>
      </c>
      <c r="BH39" s="76">
        <f>IF(N39="sníž. přenesená",J39,0)</f>
        <v>0</v>
      </c>
      <c r="BI39" s="76">
        <f>IF(N39="nulová",J39,0)</f>
        <v>0</v>
      </c>
      <c r="BJ39" s="47" t="s">
        <v>51</v>
      </c>
      <c r="BK39" s="76">
        <f>ROUND(I39*H39,2)</f>
        <v>0</v>
      </c>
      <c r="BL39" s="47" t="s">
        <v>71</v>
      </c>
      <c r="BM39" s="75" t="s">
        <v>1830</v>
      </c>
    </row>
    <row r="40" spans="3:65" s="48" customFormat="1" ht="21.75" customHeight="1">
      <c r="C40" s="79" t="s">
        <v>121</v>
      </c>
      <c r="D40" s="79" t="s">
        <v>883</v>
      </c>
      <c r="E40" s="80" t="s">
        <v>1136</v>
      </c>
      <c r="F40" s="81" t="s">
        <v>1137</v>
      </c>
      <c r="G40" s="82" t="s">
        <v>74</v>
      </c>
      <c r="H40" s="83">
        <v>62</v>
      </c>
      <c r="I40" s="527"/>
      <c r="J40" s="84">
        <f>ROUND(I40*H40,2)</f>
        <v>0</v>
      </c>
      <c r="K40" s="521"/>
      <c r="L40" s="533" t="s">
        <v>2474</v>
      </c>
      <c r="M40" s="530" t="s">
        <v>854</v>
      </c>
      <c r="N40" s="72" t="s">
        <v>860</v>
      </c>
      <c r="O40" s="73">
        <v>0.025</v>
      </c>
      <c r="P40" s="73">
        <f>O40*H40</f>
        <v>1.55</v>
      </c>
      <c r="Q40" s="73">
        <v>9E-05</v>
      </c>
      <c r="R40" s="73">
        <f>Q40*H40</f>
        <v>0.005580000000000001</v>
      </c>
      <c r="S40" s="73">
        <v>0</v>
      </c>
      <c r="T40" s="74">
        <f>S40*H40</f>
        <v>0</v>
      </c>
      <c r="AR40" s="75" t="s">
        <v>71</v>
      </c>
      <c r="AT40" s="75" t="s">
        <v>883</v>
      </c>
      <c r="AU40" s="75" t="s">
        <v>63</v>
      </c>
      <c r="AY40" s="47" t="s">
        <v>881</v>
      </c>
      <c r="BE40" s="76">
        <f>IF(N40="základní",J40,0)</f>
        <v>0</v>
      </c>
      <c r="BF40" s="76">
        <f>IF(N40="snížená",J40,0)</f>
        <v>0</v>
      </c>
      <c r="BG40" s="76">
        <f>IF(N40="zákl. přenesená",J40,0)</f>
        <v>0</v>
      </c>
      <c r="BH40" s="76">
        <f>IF(N40="sníž. přenesená",J40,0)</f>
        <v>0</v>
      </c>
      <c r="BI40" s="76">
        <f>IF(N40="nulová",J40,0)</f>
        <v>0</v>
      </c>
      <c r="BJ40" s="47" t="s">
        <v>51</v>
      </c>
      <c r="BK40" s="76">
        <f>ROUND(I40*H40,2)</f>
        <v>0</v>
      </c>
      <c r="BL40" s="47" t="s">
        <v>71</v>
      </c>
      <c r="BM40" s="75" t="s">
        <v>1831</v>
      </c>
    </row>
    <row r="41" spans="4:63" s="64" customFormat="1" ht="22.95" customHeight="1">
      <c r="D41" s="65" t="s">
        <v>877</v>
      </c>
      <c r="E41" s="205" t="s">
        <v>98</v>
      </c>
      <c r="F41" s="205" t="s">
        <v>1139</v>
      </c>
      <c r="J41" s="206">
        <f>BK41</f>
        <v>0</v>
      </c>
      <c r="P41" s="67">
        <f>P42</f>
        <v>8.040000000000001</v>
      </c>
      <c r="R41" s="67">
        <f>R42</f>
        <v>4.662</v>
      </c>
      <c r="T41" s="68">
        <f>T42</f>
        <v>0</v>
      </c>
      <c r="AR41" s="65" t="s">
        <v>51</v>
      </c>
      <c r="AT41" s="69" t="s">
        <v>877</v>
      </c>
      <c r="AU41" s="69" t="s">
        <v>51</v>
      </c>
      <c r="AY41" s="65" t="s">
        <v>881</v>
      </c>
      <c r="BK41" s="70">
        <f>BK42</f>
        <v>0</v>
      </c>
    </row>
    <row r="42" spans="3:65" s="48" customFormat="1" ht="33" customHeight="1">
      <c r="C42" s="79" t="s">
        <v>157</v>
      </c>
      <c r="D42" s="79" t="s">
        <v>883</v>
      </c>
      <c r="E42" s="80" t="s">
        <v>1832</v>
      </c>
      <c r="F42" s="81" t="s">
        <v>1833</v>
      </c>
      <c r="G42" s="82" t="s">
        <v>74</v>
      </c>
      <c r="H42" s="83">
        <v>30</v>
      </c>
      <c r="I42" s="527"/>
      <c r="J42" s="84">
        <f>ROUND(I42*H42,2)</f>
        <v>0</v>
      </c>
      <c r="K42" s="521"/>
      <c r="L42" s="533" t="s">
        <v>2474</v>
      </c>
      <c r="M42" s="530" t="s">
        <v>854</v>
      </c>
      <c r="N42" s="72" t="s">
        <v>860</v>
      </c>
      <c r="O42" s="73">
        <v>0.268</v>
      </c>
      <c r="P42" s="73">
        <f>O42*H42</f>
        <v>8.040000000000001</v>
      </c>
      <c r="Q42" s="73">
        <v>0.1554</v>
      </c>
      <c r="R42" s="73">
        <f>Q42*H42</f>
        <v>4.662</v>
      </c>
      <c r="S42" s="73">
        <v>0</v>
      </c>
      <c r="T42" s="74">
        <f>S42*H42</f>
        <v>0</v>
      </c>
      <c r="AR42" s="75" t="s">
        <v>71</v>
      </c>
      <c r="AT42" s="75" t="s">
        <v>883</v>
      </c>
      <c r="AU42" s="75" t="s">
        <v>63</v>
      </c>
      <c r="AY42" s="47" t="s">
        <v>881</v>
      </c>
      <c r="BE42" s="76">
        <f>IF(N42="základní",J42,0)</f>
        <v>0</v>
      </c>
      <c r="BF42" s="76">
        <f>IF(N42="snížená",J42,0)</f>
        <v>0</v>
      </c>
      <c r="BG42" s="76">
        <f>IF(N42="zákl. přenesená",J42,0)</f>
        <v>0</v>
      </c>
      <c r="BH42" s="76">
        <f>IF(N42="sníž. přenesená",J42,0)</f>
        <v>0</v>
      </c>
      <c r="BI42" s="76">
        <f>IF(N42="nulová",J42,0)</f>
        <v>0</v>
      </c>
      <c r="BJ42" s="47" t="s">
        <v>51</v>
      </c>
      <c r="BK42" s="76">
        <f>ROUND(I42*H42,2)</f>
        <v>0</v>
      </c>
      <c r="BL42" s="47" t="s">
        <v>71</v>
      </c>
      <c r="BM42" s="75" t="s">
        <v>1834</v>
      </c>
    </row>
    <row r="43" spans="4:63" s="64" customFormat="1" ht="22.95" customHeight="1">
      <c r="D43" s="65" t="s">
        <v>877</v>
      </c>
      <c r="E43" s="205" t="s">
        <v>1149</v>
      </c>
      <c r="F43" s="205" t="s">
        <v>1150</v>
      </c>
      <c r="J43" s="206">
        <f>BK43</f>
        <v>0</v>
      </c>
      <c r="P43" s="67">
        <f>SUM(P44:P47)</f>
        <v>59.5107</v>
      </c>
      <c r="R43" s="67">
        <f>SUM(R44:R47)</f>
        <v>0</v>
      </c>
      <c r="T43" s="68">
        <f>SUM(T44:T47)</f>
        <v>0</v>
      </c>
      <c r="AR43" s="65" t="s">
        <v>51</v>
      </c>
      <c r="AT43" s="69" t="s">
        <v>877</v>
      </c>
      <c r="AU43" s="69" t="s">
        <v>51</v>
      </c>
      <c r="AY43" s="65" t="s">
        <v>881</v>
      </c>
      <c r="BK43" s="70">
        <f>SUM(BK44:BK47)</f>
        <v>0</v>
      </c>
    </row>
    <row r="44" spans="3:65" s="48" customFormat="1" ht="16.5" customHeight="1">
      <c r="C44" s="79" t="s">
        <v>161</v>
      </c>
      <c r="D44" s="79" t="s">
        <v>883</v>
      </c>
      <c r="E44" s="80" t="s">
        <v>1151</v>
      </c>
      <c r="F44" s="81" t="s">
        <v>1152</v>
      </c>
      <c r="G44" s="82" t="s">
        <v>125</v>
      </c>
      <c r="H44" s="83">
        <v>48.98</v>
      </c>
      <c r="I44" s="527"/>
      <c r="J44" s="84">
        <f>ROUND(I44*H44,2)</f>
        <v>0</v>
      </c>
      <c r="K44" s="521"/>
      <c r="L44" s="533" t="s">
        <v>2474</v>
      </c>
      <c r="M44" s="530" t="s">
        <v>854</v>
      </c>
      <c r="N44" s="72" t="s">
        <v>860</v>
      </c>
      <c r="O44" s="73">
        <v>0.835</v>
      </c>
      <c r="P44" s="73">
        <f>O44*H44</f>
        <v>40.8983</v>
      </c>
      <c r="Q44" s="73">
        <v>0</v>
      </c>
      <c r="R44" s="73">
        <f>Q44*H44</f>
        <v>0</v>
      </c>
      <c r="S44" s="73">
        <v>0</v>
      </c>
      <c r="T44" s="74">
        <f>S44*H44</f>
        <v>0</v>
      </c>
      <c r="AR44" s="75" t="s">
        <v>71</v>
      </c>
      <c r="AT44" s="75" t="s">
        <v>883</v>
      </c>
      <c r="AU44" s="75" t="s">
        <v>63</v>
      </c>
      <c r="AY44" s="47" t="s">
        <v>881</v>
      </c>
      <c r="BE44" s="76">
        <f>IF(N44="základní",J44,0)</f>
        <v>0</v>
      </c>
      <c r="BF44" s="76">
        <f>IF(N44="snížená",J44,0)</f>
        <v>0</v>
      </c>
      <c r="BG44" s="76">
        <f>IF(N44="zákl. přenesená",J44,0)</f>
        <v>0</v>
      </c>
      <c r="BH44" s="76">
        <f>IF(N44="sníž. přenesená",J44,0)</f>
        <v>0</v>
      </c>
      <c r="BI44" s="76">
        <f>IF(N44="nulová",J44,0)</f>
        <v>0</v>
      </c>
      <c r="BJ44" s="47" t="s">
        <v>51</v>
      </c>
      <c r="BK44" s="76">
        <f>ROUND(I44*H44,2)</f>
        <v>0</v>
      </c>
      <c r="BL44" s="47" t="s">
        <v>71</v>
      </c>
      <c r="BM44" s="75" t="s">
        <v>1835</v>
      </c>
    </row>
    <row r="45" spans="3:65" s="48" customFormat="1" ht="24.15" customHeight="1">
      <c r="C45" s="79" t="s">
        <v>165</v>
      </c>
      <c r="D45" s="79" t="s">
        <v>883</v>
      </c>
      <c r="E45" s="80" t="s">
        <v>1154</v>
      </c>
      <c r="F45" s="81" t="s">
        <v>1155</v>
      </c>
      <c r="G45" s="82" t="s">
        <v>125</v>
      </c>
      <c r="H45" s="83">
        <v>48.98</v>
      </c>
      <c r="I45" s="527"/>
      <c r="J45" s="84">
        <f>ROUND(I45*H45,2)</f>
        <v>0</v>
      </c>
      <c r="K45" s="521"/>
      <c r="L45" s="533" t="s">
        <v>2474</v>
      </c>
      <c r="M45" s="530" t="s">
        <v>854</v>
      </c>
      <c r="N45" s="72" t="s">
        <v>860</v>
      </c>
      <c r="O45" s="73">
        <v>0.004</v>
      </c>
      <c r="P45" s="73">
        <f>O45*H45</f>
        <v>0.19591999999999998</v>
      </c>
      <c r="Q45" s="73">
        <v>0</v>
      </c>
      <c r="R45" s="73">
        <f>Q45*H45</f>
        <v>0</v>
      </c>
      <c r="S45" s="73">
        <v>0</v>
      </c>
      <c r="T45" s="74">
        <f>S45*H45</f>
        <v>0</v>
      </c>
      <c r="AR45" s="75" t="s">
        <v>71</v>
      </c>
      <c r="AT45" s="75" t="s">
        <v>883</v>
      </c>
      <c r="AU45" s="75" t="s">
        <v>63</v>
      </c>
      <c r="AY45" s="47" t="s">
        <v>881</v>
      </c>
      <c r="BE45" s="76">
        <f>IF(N45="základní",J45,0)</f>
        <v>0</v>
      </c>
      <c r="BF45" s="76">
        <f>IF(N45="snížená",J45,0)</f>
        <v>0</v>
      </c>
      <c r="BG45" s="76">
        <f>IF(N45="zákl. přenesená",J45,0)</f>
        <v>0</v>
      </c>
      <c r="BH45" s="76">
        <f>IF(N45="sníž. přenesená",J45,0)</f>
        <v>0</v>
      </c>
      <c r="BI45" s="76">
        <f>IF(N45="nulová",J45,0)</f>
        <v>0</v>
      </c>
      <c r="BJ45" s="47" t="s">
        <v>51</v>
      </c>
      <c r="BK45" s="76">
        <f>ROUND(I45*H45,2)</f>
        <v>0</v>
      </c>
      <c r="BL45" s="47" t="s">
        <v>71</v>
      </c>
      <c r="BM45" s="75" t="s">
        <v>1836</v>
      </c>
    </row>
    <row r="46" spans="3:65" s="48" customFormat="1" ht="24.15" customHeight="1">
      <c r="C46" s="79" t="s">
        <v>70</v>
      </c>
      <c r="D46" s="79" t="s">
        <v>883</v>
      </c>
      <c r="E46" s="80" t="s">
        <v>1157</v>
      </c>
      <c r="F46" s="81" t="s">
        <v>1158</v>
      </c>
      <c r="G46" s="82" t="s">
        <v>125</v>
      </c>
      <c r="H46" s="83">
        <v>48.98</v>
      </c>
      <c r="I46" s="527"/>
      <c r="J46" s="84">
        <f>ROUND(I46*H46,2)</f>
        <v>0</v>
      </c>
      <c r="K46" s="521"/>
      <c r="L46" s="533" t="s">
        <v>2474</v>
      </c>
      <c r="M46" s="530" t="s">
        <v>854</v>
      </c>
      <c r="N46" s="72" t="s">
        <v>860</v>
      </c>
      <c r="O46" s="73">
        <v>0.376</v>
      </c>
      <c r="P46" s="73">
        <f>O46*H46</f>
        <v>18.41648</v>
      </c>
      <c r="Q46" s="73">
        <v>0</v>
      </c>
      <c r="R46" s="73">
        <f>Q46*H46</f>
        <v>0</v>
      </c>
      <c r="S46" s="73">
        <v>0</v>
      </c>
      <c r="T46" s="74">
        <f>S46*H46</f>
        <v>0</v>
      </c>
      <c r="AR46" s="75" t="s">
        <v>71</v>
      </c>
      <c r="AT46" s="75" t="s">
        <v>883</v>
      </c>
      <c r="AU46" s="75" t="s">
        <v>63</v>
      </c>
      <c r="AY46" s="47" t="s">
        <v>881</v>
      </c>
      <c r="BE46" s="76">
        <f>IF(N46="základní",J46,0)</f>
        <v>0</v>
      </c>
      <c r="BF46" s="76">
        <f>IF(N46="snížená",J46,0)</f>
        <v>0</v>
      </c>
      <c r="BG46" s="76">
        <f>IF(N46="zákl. přenesená",J46,0)</f>
        <v>0</v>
      </c>
      <c r="BH46" s="76">
        <f>IF(N46="sníž. přenesená",J46,0)</f>
        <v>0</v>
      </c>
      <c r="BI46" s="76">
        <f>IF(N46="nulová",J46,0)</f>
        <v>0</v>
      </c>
      <c r="BJ46" s="47" t="s">
        <v>51</v>
      </c>
      <c r="BK46" s="76">
        <f>ROUND(I46*H46,2)</f>
        <v>0</v>
      </c>
      <c r="BL46" s="47" t="s">
        <v>71</v>
      </c>
      <c r="BM46" s="75" t="s">
        <v>1837</v>
      </c>
    </row>
    <row r="47" spans="3:65" s="48" customFormat="1" ht="24.15" customHeight="1">
      <c r="C47" s="79" t="s">
        <v>172</v>
      </c>
      <c r="D47" s="79" t="s">
        <v>883</v>
      </c>
      <c r="E47" s="80" t="s">
        <v>1163</v>
      </c>
      <c r="F47" s="81" t="s">
        <v>915</v>
      </c>
      <c r="G47" s="82" t="s">
        <v>125</v>
      </c>
      <c r="H47" s="83">
        <v>48.98</v>
      </c>
      <c r="I47" s="527"/>
      <c r="J47" s="84">
        <f>ROUND(I47*H47,2)</f>
        <v>0</v>
      </c>
      <c r="K47" s="521"/>
      <c r="L47" s="533" t="s">
        <v>2474</v>
      </c>
      <c r="M47" s="530" t="s">
        <v>854</v>
      </c>
      <c r="N47" s="72" t="s">
        <v>860</v>
      </c>
      <c r="O47" s="73">
        <v>0</v>
      </c>
      <c r="P47" s="73">
        <f>O47*H47</f>
        <v>0</v>
      </c>
      <c r="Q47" s="73">
        <v>0</v>
      </c>
      <c r="R47" s="73">
        <f>Q47*H47</f>
        <v>0</v>
      </c>
      <c r="S47" s="73">
        <v>0</v>
      </c>
      <c r="T47" s="74">
        <f>S47*H47</f>
        <v>0</v>
      </c>
      <c r="AR47" s="75" t="s">
        <v>71</v>
      </c>
      <c r="AT47" s="75" t="s">
        <v>883</v>
      </c>
      <c r="AU47" s="75" t="s">
        <v>63</v>
      </c>
      <c r="AY47" s="47" t="s">
        <v>881</v>
      </c>
      <c r="BE47" s="76">
        <f>IF(N47="základní",J47,0)</f>
        <v>0</v>
      </c>
      <c r="BF47" s="76">
        <f>IF(N47="snížená",J47,0)</f>
        <v>0</v>
      </c>
      <c r="BG47" s="76">
        <f>IF(N47="zákl. přenesená",J47,0)</f>
        <v>0</v>
      </c>
      <c r="BH47" s="76">
        <f>IF(N47="sníž. přenesená",J47,0)</f>
        <v>0</v>
      </c>
      <c r="BI47" s="76">
        <f>IF(N47="nulová",J47,0)</f>
        <v>0</v>
      </c>
      <c r="BJ47" s="47" t="s">
        <v>51</v>
      </c>
      <c r="BK47" s="76">
        <f>ROUND(I47*H47,2)</f>
        <v>0</v>
      </c>
      <c r="BL47" s="47" t="s">
        <v>71</v>
      </c>
      <c r="BM47" s="75" t="s">
        <v>1838</v>
      </c>
    </row>
    <row r="48" spans="4:63" s="64" customFormat="1" ht="22.95" customHeight="1">
      <c r="D48" s="65" t="s">
        <v>877</v>
      </c>
      <c r="E48" s="205" t="s">
        <v>1165</v>
      </c>
      <c r="F48" s="205" t="s">
        <v>1166</v>
      </c>
      <c r="J48" s="206">
        <f>BK48</f>
        <v>0</v>
      </c>
      <c r="P48" s="67">
        <f>P49</f>
        <v>200.42012000000003</v>
      </c>
      <c r="R48" s="67">
        <f>R49</f>
        <v>0</v>
      </c>
      <c r="T48" s="68">
        <f>T49</f>
        <v>0</v>
      </c>
      <c r="AR48" s="65" t="s">
        <v>51</v>
      </c>
      <c r="AT48" s="69" t="s">
        <v>877</v>
      </c>
      <c r="AU48" s="69" t="s">
        <v>51</v>
      </c>
      <c r="AY48" s="65" t="s">
        <v>881</v>
      </c>
      <c r="BK48" s="70">
        <f>BK49</f>
        <v>0</v>
      </c>
    </row>
    <row r="49" spans="3:65" s="48" customFormat="1" ht="24.15" customHeight="1">
      <c r="C49" s="79" t="s">
        <v>177</v>
      </c>
      <c r="D49" s="79" t="s">
        <v>883</v>
      </c>
      <c r="E49" s="80" t="s">
        <v>1402</v>
      </c>
      <c r="F49" s="81" t="s">
        <v>1403</v>
      </c>
      <c r="G49" s="82" t="s">
        <v>125</v>
      </c>
      <c r="H49" s="83">
        <v>135.419</v>
      </c>
      <c r="I49" s="527"/>
      <c r="J49" s="84">
        <f>ROUND(I49*H49,2)</f>
        <v>0</v>
      </c>
      <c r="K49" s="521"/>
      <c r="L49" s="533" t="s">
        <v>2474</v>
      </c>
      <c r="M49" s="530" t="s">
        <v>854</v>
      </c>
      <c r="N49" s="72" t="s">
        <v>860</v>
      </c>
      <c r="O49" s="73">
        <v>1.48</v>
      </c>
      <c r="P49" s="73">
        <f>O49*H49</f>
        <v>200.42012000000003</v>
      </c>
      <c r="Q49" s="73">
        <v>0</v>
      </c>
      <c r="R49" s="73">
        <f>Q49*H49</f>
        <v>0</v>
      </c>
      <c r="S49" s="73">
        <v>0</v>
      </c>
      <c r="T49" s="74">
        <f>S49*H49</f>
        <v>0</v>
      </c>
      <c r="AR49" s="75" t="s">
        <v>71</v>
      </c>
      <c r="AT49" s="75" t="s">
        <v>883</v>
      </c>
      <c r="AU49" s="75" t="s">
        <v>63</v>
      </c>
      <c r="AY49" s="47" t="s">
        <v>881</v>
      </c>
      <c r="BE49" s="76">
        <f>IF(N49="základní",J49,0)</f>
        <v>0</v>
      </c>
      <c r="BF49" s="76">
        <f>IF(N49="snížená",J49,0)</f>
        <v>0</v>
      </c>
      <c r="BG49" s="76">
        <f>IF(N49="zákl. přenesená",J49,0)</f>
        <v>0</v>
      </c>
      <c r="BH49" s="76">
        <f>IF(N49="sníž. přenesená",J49,0)</f>
        <v>0</v>
      </c>
      <c r="BI49" s="76">
        <f>IF(N49="nulová",J49,0)</f>
        <v>0</v>
      </c>
      <c r="BJ49" s="47" t="s">
        <v>51</v>
      </c>
      <c r="BK49" s="76">
        <f>ROUND(I49*H49,2)</f>
        <v>0</v>
      </c>
      <c r="BL49" s="47" t="s">
        <v>71</v>
      </c>
      <c r="BM49" s="75" t="s">
        <v>1839</v>
      </c>
    </row>
    <row r="50" spans="4:63" s="64" customFormat="1" ht="25.95" customHeight="1">
      <c r="D50" s="65" t="s">
        <v>877</v>
      </c>
      <c r="E50" s="203" t="s">
        <v>1411</v>
      </c>
      <c r="F50" s="203" t="s">
        <v>1840</v>
      </c>
      <c r="J50" s="204">
        <f>BK50</f>
        <v>0</v>
      </c>
      <c r="P50" s="67">
        <v>0</v>
      </c>
      <c r="R50" s="67">
        <v>0</v>
      </c>
      <c r="T50" s="68">
        <v>0</v>
      </c>
      <c r="AR50" s="65" t="s">
        <v>63</v>
      </c>
      <c r="AT50" s="69" t="s">
        <v>877</v>
      </c>
      <c r="AU50" s="69" t="s">
        <v>880</v>
      </c>
      <c r="AY50" s="65" t="s">
        <v>881</v>
      </c>
      <c r="BK50" s="70">
        <v>0</v>
      </c>
    </row>
    <row r="51" spans="4:63" s="64" customFormat="1" ht="25.95" customHeight="1">
      <c r="D51" s="65" t="s">
        <v>877</v>
      </c>
      <c r="E51" s="203" t="s">
        <v>201</v>
      </c>
      <c r="F51" s="203" t="s">
        <v>1412</v>
      </c>
      <c r="J51" s="204">
        <f>BK51</f>
        <v>0</v>
      </c>
      <c r="P51" s="67">
        <f>P52</f>
        <v>105.90599999999999</v>
      </c>
      <c r="R51" s="67">
        <f>R52</f>
        <v>0.1299792</v>
      </c>
      <c r="T51" s="68">
        <f>T52</f>
        <v>0</v>
      </c>
      <c r="AR51" s="65" t="s">
        <v>67</v>
      </c>
      <c r="AT51" s="69" t="s">
        <v>877</v>
      </c>
      <c r="AU51" s="69" t="s">
        <v>880</v>
      </c>
      <c r="AY51" s="65" t="s">
        <v>881</v>
      </c>
      <c r="BK51" s="70">
        <f>BK52</f>
        <v>0</v>
      </c>
    </row>
    <row r="52" spans="4:63" s="64" customFormat="1" ht="22.95" customHeight="1">
      <c r="D52" s="65" t="s">
        <v>877</v>
      </c>
      <c r="E52" s="205" t="s">
        <v>1841</v>
      </c>
      <c r="F52" s="205" t="s">
        <v>1842</v>
      </c>
      <c r="J52" s="206">
        <f>BK52</f>
        <v>0</v>
      </c>
      <c r="P52" s="67">
        <f>SUM(P53:P67)</f>
        <v>105.90599999999999</v>
      </c>
      <c r="R52" s="67">
        <f>SUM(R53:R67)</f>
        <v>0.1299792</v>
      </c>
      <c r="T52" s="68">
        <f>SUM(T53:T67)</f>
        <v>0</v>
      </c>
      <c r="AR52" s="65" t="s">
        <v>67</v>
      </c>
      <c r="AT52" s="69" t="s">
        <v>877</v>
      </c>
      <c r="AU52" s="69" t="s">
        <v>51</v>
      </c>
      <c r="AY52" s="65" t="s">
        <v>881</v>
      </c>
      <c r="BK52" s="70">
        <f>SUM(BK53:BK67)</f>
        <v>0</v>
      </c>
    </row>
    <row r="53" spans="3:65" s="48" customFormat="1" ht="16.5" customHeight="1">
      <c r="C53" s="79" t="s">
        <v>181</v>
      </c>
      <c r="D53" s="79" t="s">
        <v>883</v>
      </c>
      <c r="E53" s="80" t="s">
        <v>1843</v>
      </c>
      <c r="F53" s="81" t="s">
        <v>1844</v>
      </c>
      <c r="G53" s="82" t="s">
        <v>74</v>
      </c>
      <c r="H53" s="83">
        <v>62</v>
      </c>
      <c r="I53" s="527"/>
      <c r="J53" s="84">
        <f aca="true" t="shared" si="10" ref="J53:J67">ROUND(I53*H53,2)</f>
        <v>0</v>
      </c>
      <c r="K53" s="521"/>
      <c r="L53" s="533" t="s">
        <v>2474</v>
      </c>
      <c r="M53" s="530" t="s">
        <v>854</v>
      </c>
      <c r="N53" s="72" t="s">
        <v>860</v>
      </c>
      <c r="O53" s="73">
        <v>0.22</v>
      </c>
      <c r="P53" s="73">
        <f aca="true" t="shared" si="11" ref="P53:P67">O53*H53</f>
        <v>13.64</v>
      </c>
      <c r="Q53" s="73">
        <v>0</v>
      </c>
      <c r="R53" s="73">
        <f aca="true" t="shared" si="12" ref="R53:R67">Q53*H53</f>
        <v>0</v>
      </c>
      <c r="S53" s="73">
        <v>0</v>
      </c>
      <c r="T53" s="74">
        <f aca="true" t="shared" si="13" ref="T53:T67">S53*H53</f>
        <v>0</v>
      </c>
      <c r="AR53" s="75" t="s">
        <v>363</v>
      </c>
      <c r="AT53" s="75" t="s">
        <v>883</v>
      </c>
      <c r="AU53" s="75" t="s">
        <v>63</v>
      </c>
      <c r="AY53" s="47" t="s">
        <v>881</v>
      </c>
      <c r="BE53" s="76">
        <f aca="true" t="shared" si="14" ref="BE53:BE67">IF(N53="základní",J53,0)</f>
        <v>0</v>
      </c>
      <c r="BF53" s="76">
        <f aca="true" t="shared" si="15" ref="BF53:BF67">IF(N53="snížená",J53,0)</f>
        <v>0</v>
      </c>
      <c r="BG53" s="76">
        <f aca="true" t="shared" si="16" ref="BG53:BG67">IF(N53="zákl. přenesená",J53,0)</f>
        <v>0</v>
      </c>
      <c r="BH53" s="76">
        <f aca="true" t="shared" si="17" ref="BH53:BH67">IF(N53="sníž. přenesená",J53,0)</f>
        <v>0</v>
      </c>
      <c r="BI53" s="76">
        <f aca="true" t="shared" si="18" ref="BI53:BI67">IF(N53="nulová",J53,0)</f>
        <v>0</v>
      </c>
      <c r="BJ53" s="47" t="s">
        <v>51</v>
      </c>
      <c r="BK53" s="76">
        <f aca="true" t="shared" si="19" ref="BK53:BK67">ROUND(I53*H53,2)</f>
        <v>0</v>
      </c>
      <c r="BL53" s="47" t="s">
        <v>363</v>
      </c>
      <c r="BM53" s="75" t="s">
        <v>1845</v>
      </c>
    </row>
    <row r="54" spans="3:65" s="48" customFormat="1" ht="24.15" customHeight="1">
      <c r="C54" s="79" t="s">
        <v>187</v>
      </c>
      <c r="D54" s="79" t="s">
        <v>883</v>
      </c>
      <c r="E54" s="80" t="s">
        <v>1846</v>
      </c>
      <c r="F54" s="81" t="s">
        <v>2492</v>
      </c>
      <c r="G54" s="82" t="s">
        <v>260</v>
      </c>
      <c r="H54" s="83">
        <v>3</v>
      </c>
      <c r="I54" s="527"/>
      <c r="J54" s="84">
        <f t="shared" si="10"/>
        <v>0</v>
      </c>
      <c r="K54" s="521"/>
      <c r="L54" s="533" t="s">
        <v>2130</v>
      </c>
      <c r="M54" s="530" t="s">
        <v>854</v>
      </c>
      <c r="N54" s="72" t="s">
        <v>860</v>
      </c>
      <c r="O54" s="73">
        <v>15.416</v>
      </c>
      <c r="P54" s="73">
        <f t="shared" si="11"/>
        <v>46.248000000000005</v>
      </c>
      <c r="Q54" s="73">
        <v>0.00024</v>
      </c>
      <c r="R54" s="73">
        <f t="shared" si="12"/>
        <v>0.00072</v>
      </c>
      <c r="S54" s="73">
        <v>0</v>
      </c>
      <c r="T54" s="74">
        <f t="shared" si="13"/>
        <v>0</v>
      </c>
      <c r="AR54" s="75" t="s">
        <v>363</v>
      </c>
      <c r="AT54" s="75" t="s">
        <v>883</v>
      </c>
      <c r="AU54" s="75" t="s">
        <v>63</v>
      </c>
      <c r="AY54" s="47" t="s">
        <v>881</v>
      </c>
      <c r="BE54" s="76">
        <f t="shared" si="14"/>
        <v>0</v>
      </c>
      <c r="BF54" s="76">
        <f t="shared" si="15"/>
        <v>0</v>
      </c>
      <c r="BG54" s="76">
        <f t="shared" si="16"/>
        <v>0</v>
      </c>
      <c r="BH54" s="76">
        <f t="shared" si="17"/>
        <v>0</v>
      </c>
      <c r="BI54" s="76">
        <f t="shared" si="18"/>
        <v>0</v>
      </c>
      <c r="BJ54" s="47" t="s">
        <v>51</v>
      </c>
      <c r="BK54" s="76">
        <f t="shared" si="19"/>
        <v>0</v>
      </c>
      <c r="BL54" s="47" t="s">
        <v>363</v>
      </c>
      <c r="BM54" s="75" t="s">
        <v>1847</v>
      </c>
    </row>
    <row r="55" spans="3:65" s="48" customFormat="1" ht="24.15" customHeight="1">
      <c r="C55" s="79" t="s">
        <v>198</v>
      </c>
      <c r="D55" s="79" t="s">
        <v>883</v>
      </c>
      <c r="E55" s="80" t="s">
        <v>1848</v>
      </c>
      <c r="F55" s="81" t="s">
        <v>2493</v>
      </c>
      <c r="G55" s="82" t="s">
        <v>260</v>
      </c>
      <c r="H55" s="83">
        <v>1</v>
      </c>
      <c r="I55" s="527"/>
      <c r="J55" s="84">
        <f t="shared" si="10"/>
        <v>0</v>
      </c>
      <c r="K55" s="521"/>
      <c r="L55" s="533" t="s">
        <v>2130</v>
      </c>
      <c r="M55" s="530" t="s">
        <v>854</v>
      </c>
      <c r="N55" s="72" t="s">
        <v>860</v>
      </c>
      <c r="O55" s="73">
        <v>19.707</v>
      </c>
      <c r="P55" s="73">
        <f t="shared" si="11"/>
        <v>19.707</v>
      </c>
      <c r="Q55" s="73">
        <v>0.00054</v>
      </c>
      <c r="R55" s="73">
        <f t="shared" si="12"/>
        <v>0.00054</v>
      </c>
      <c r="S55" s="73">
        <v>0</v>
      </c>
      <c r="T55" s="74">
        <f t="shared" si="13"/>
        <v>0</v>
      </c>
      <c r="AR55" s="75" t="s">
        <v>363</v>
      </c>
      <c r="AT55" s="75" t="s">
        <v>883</v>
      </c>
      <c r="AU55" s="75" t="s">
        <v>63</v>
      </c>
      <c r="AY55" s="47" t="s">
        <v>881</v>
      </c>
      <c r="BE55" s="76">
        <f t="shared" si="14"/>
        <v>0</v>
      </c>
      <c r="BF55" s="76">
        <f t="shared" si="15"/>
        <v>0</v>
      </c>
      <c r="BG55" s="76">
        <f t="shared" si="16"/>
        <v>0</v>
      </c>
      <c r="BH55" s="76">
        <f t="shared" si="17"/>
        <v>0</v>
      </c>
      <c r="BI55" s="76">
        <f t="shared" si="18"/>
        <v>0</v>
      </c>
      <c r="BJ55" s="47" t="s">
        <v>51</v>
      </c>
      <c r="BK55" s="76">
        <f t="shared" si="19"/>
        <v>0</v>
      </c>
      <c r="BL55" s="47" t="s">
        <v>363</v>
      </c>
      <c r="BM55" s="75" t="s">
        <v>1849</v>
      </c>
    </row>
    <row r="56" spans="3:65" s="48" customFormat="1" ht="24.15" customHeight="1">
      <c r="C56" s="79" t="s">
        <v>206</v>
      </c>
      <c r="D56" s="79" t="s">
        <v>883</v>
      </c>
      <c r="E56" s="80" t="s">
        <v>1850</v>
      </c>
      <c r="F56" s="81" t="s">
        <v>1851</v>
      </c>
      <c r="G56" s="82" t="s">
        <v>74</v>
      </c>
      <c r="H56" s="83">
        <v>6</v>
      </c>
      <c r="I56" s="527"/>
      <c r="J56" s="84">
        <f t="shared" si="10"/>
        <v>0</v>
      </c>
      <c r="K56" s="521"/>
      <c r="L56" s="533" t="s">
        <v>2474</v>
      </c>
      <c r="M56" s="530" t="s">
        <v>854</v>
      </c>
      <c r="N56" s="72" t="s">
        <v>860</v>
      </c>
      <c r="O56" s="73">
        <v>0.142</v>
      </c>
      <c r="P56" s="73">
        <f t="shared" si="11"/>
        <v>0.8519999999999999</v>
      </c>
      <c r="Q56" s="73">
        <v>0</v>
      </c>
      <c r="R56" s="73">
        <f t="shared" si="12"/>
        <v>0</v>
      </c>
      <c r="S56" s="73">
        <v>0</v>
      </c>
      <c r="T56" s="74">
        <f t="shared" si="13"/>
        <v>0</v>
      </c>
      <c r="AR56" s="75" t="s">
        <v>363</v>
      </c>
      <c r="AT56" s="75" t="s">
        <v>883</v>
      </c>
      <c r="AU56" s="75" t="s">
        <v>63</v>
      </c>
      <c r="AY56" s="47" t="s">
        <v>881</v>
      </c>
      <c r="BE56" s="76">
        <f t="shared" si="14"/>
        <v>0</v>
      </c>
      <c r="BF56" s="76">
        <f t="shared" si="15"/>
        <v>0</v>
      </c>
      <c r="BG56" s="76">
        <f t="shared" si="16"/>
        <v>0</v>
      </c>
      <c r="BH56" s="76">
        <f t="shared" si="17"/>
        <v>0</v>
      </c>
      <c r="BI56" s="76">
        <f t="shared" si="18"/>
        <v>0</v>
      </c>
      <c r="BJ56" s="47" t="s">
        <v>51</v>
      </c>
      <c r="BK56" s="76">
        <f t="shared" si="19"/>
        <v>0</v>
      </c>
      <c r="BL56" s="47" t="s">
        <v>363</v>
      </c>
      <c r="BM56" s="75" t="s">
        <v>1852</v>
      </c>
    </row>
    <row r="57" spans="3:65" s="48" customFormat="1" ht="21.75" customHeight="1">
      <c r="C57" s="85" t="s">
        <v>211</v>
      </c>
      <c r="D57" s="85" t="s">
        <v>201</v>
      </c>
      <c r="E57" s="86" t="s">
        <v>1853</v>
      </c>
      <c r="F57" s="87" t="s">
        <v>1854</v>
      </c>
      <c r="G57" s="88" t="s">
        <v>74</v>
      </c>
      <c r="H57" s="89">
        <v>6.09</v>
      </c>
      <c r="I57" s="528"/>
      <c r="J57" s="90">
        <f t="shared" si="10"/>
        <v>0</v>
      </c>
      <c r="K57" s="522"/>
      <c r="L57" s="533" t="s">
        <v>2474</v>
      </c>
      <c r="M57" s="531" t="s">
        <v>854</v>
      </c>
      <c r="N57" s="78" t="s">
        <v>860</v>
      </c>
      <c r="O57" s="73">
        <v>0</v>
      </c>
      <c r="P57" s="73">
        <f t="shared" si="11"/>
        <v>0</v>
      </c>
      <c r="Q57" s="73">
        <v>0.00028</v>
      </c>
      <c r="R57" s="73">
        <f t="shared" si="12"/>
        <v>0.0017051999999999998</v>
      </c>
      <c r="S57" s="73">
        <v>0</v>
      </c>
      <c r="T57" s="74">
        <f t="shared" si="13"/>
        <v>0</v>
      </c>
      <c r="AR57" s="75" t="s">
        <v>1470</v>
      </c>
      <c r="AT57" s="75" t="s">
        <v>201</v>
      </c>
      <c r="AU57" s="75" t="s">
        <v>63</v>
      </c>
      <c r="AY57" s="47" t="s">
        <v>881</v>
      </c>
      <c r="BE57" s="76">
        <f t="shared" si="14"/>
        <v>0</v>
      </c>
      <c r="BF57" s="76">
        <f t="shared" si="15"/>
        <v>0</v>
      </c>
      <c r="BG57" s="76">
        <f t="shared" si="16"/>
        <v>0</v>
      </c>
      <c r="BH57" s="76">
        <f t="shared" si="17"/>
        <v>0</v>
      </c>
      <c r="BI57" s="76">
        <f t="shared" si="18"/>
        <v>0</v>
      </c>
      <c r="BJ57" s="47" t="s">
        <v>51</v>
      </c>
      <c r="BK57" s="76">
        <f t="shared" si="19"/>
        <v>0</v>
      </c>
      <c r="BL57" s="47" t="s">
        <v>1470</v>
      </c>
      <c r="BM57" s="75" t="s">
        <v>1855</v>
      </c>
    </row>
    <row r="58" spans="3:65" s="48" customFormat="1" ht="24.15" customHeight="1">
      <c r="C58" s="79" t="s">
        <v>108</v>
      </c>
      <c r="D58" s="79" t="s">
        <v>883</v>
      </c>
      <c r="E58" s="80" t="s">
        <v>1856</v>
      </c>
      <c r="F58" s="81" t="s">
        <v>1857</v>
      </c>
      <c r="G58" s="82" t="s">
        <v>74</v>
      </c>
      <c r="H58" s="83">
        <v>56</v>
      </c>
      <c r="I58" s="527"/>
      <c r="J58" s="84">
        <f t="shared" si="10"/>
        <v>0</v>
      </c>
      <c r="K58" s="521"/>
      <c r="L58" s="533" t="s">
        <v>2474</v>
      </c>
      <c r="M58" s="530" t="s">
        <v>854</v>
      </c>
      <c r="N58" s="72" t="s">
        <v>860</v>
      </c>
      <c r="O58" s="73">
        <v>0.225</v>
      </c>
      <c r="P58" s="73">
        <f t="shared" si="11"/>
        <v>12.6</v>
      </c>
      <c r="Q58" s="73">
        <v>0</v>
      </c>
      <c r="R58" s="73">
        <f t="shared" si="12"/>
        <v>0</v>
      </c>
      <c r="S58" s="73">
        <v>0</v>
      </c>
      <c r="T58" s="74">
        <f t="shared" si="13"/>
        <v>0</v>
      </c>
      <c r="AR58" s="75" t="s">
        <v>363</v>
      </c>
      <c r="AT58" s="75" t="s">
        <v>883</v>
      </c>
      <c r="AU58" s="75" t="s">
        <v>63</v>
      </c>
      <c r="AY58" s="47" t="s">
        <v>881</v>
      </c>
      <c r="BE58" s="76">
        <f t="shared" si="14"/>
        <v>0</v>
      </c>
      <c r="BF58" s="76">
        <f t="shared" si="15"/>
        <v>0</v>
      </c>
      <c r="BG58" s="76">
        <f t="shared" si="16"/>
        <v>0</v>
      </c>
      <c r="BH58" s="76">
        <f t="shared" si="17"/>
        <v>0</v>
      </c>
      <c r="BI58" s="76">
        <f t="shared" si="18"/>
        <v>0</v>
      </c>
      <c r="BJ58" s="47" t="s">
        <v>51</v>
      </c>
      <c r="BK58" s="76">
        <f t="shared" si="19"/>
        <v>0</v>
      </c>
      <c r="BL58" s="47" t="s">
        <v>363</v>
      </c>
      <c r="BM58" s="75" t="s">
        <v>1858</v>
      </c>
    </row>
    <row r="59" spans="3:65" s="48" customFormat="1" ht="24.15" customHeight="1">
      <c r="C59" s="85" t="s">
        <v>221</v>
      </c>
      <c r="D59" s="85" t="s">
        <v>201</v>
      </c>
      <c r="E59" s="86" t="s">
        <v>1859</v>
      </c>
      <c r="F59" s="87" t="s">
        <v>1860</v>
      </c>
      <c r="G59" s="88" t="s">
        <v>74</v>
      </c>
      <c r="H59" s="89">
        <v>56.84</v>
      </c>
      <c r="I59" s="528"/>
      <c r="J59" s="90">
        <f t="shared" si="10"/>
        <v>0</v>
      </c>
      <c r="K59" s="522"/>
      <c r="L59" s="533" t="s">
        <v>2474</v>
      </c>
      <c r="M59" s="531" t="s">
        <v>854</v>
      </c>
      <c r="N59" s="78" t="s">
        <v>860</v>
      </c>
      <c r="O59" s="73">
        <v>0</v>
      </c>
      <c r="P59" s="73">
        <f t="shared" si="11"/>
        <v>0</v>
      </c>
      <c r="Q59" s="73">
        <v>0.0021</v>
      </c>
      <c r="R59" s="73">
        <f t="shared" si="12"/>
        <v>0.119364</v>
      </c>
      <c r="S59" s="73">
        <v>0</v>
      </c>
      <c r="T59" s="74">
        <f t="shared" si="13"/>
        <v>0</v>
      </c>
      <c r="AR59" s="75" t="s">
        <v>1470</v>
      </c>
      <c r="AT59" s="75" t="s">
        <v>201</v>
      </c>
      <c r="AU59" s="75" t="s">
        <v>63</v>
      </c>
      <c r="AY59" s="47" t="s">
        <v>881</v>
      </c>
      <c r="BE59" s="76">
        <f t="shared" si="14"/>
        <v>0</v>
      </c>
      <c r="BF59" s="76">
        <f t="shared" si="15"/>
        <v>0</v>
      </c>
      <c r="BG59" s="76">
        <f t="shared" si="16"/>
        <v>0</v>
      </c>
      <c r="BH59" s="76">
        <f t="shared" si="17"/>
        <v>0</v>
      </c>
      <c r="BI59" s="76">
        <f t="shared" si="18"/>
        <v>0</v>
      </c>
      <c r="BJ59" s="47" t="s">
        <v>51</v>
      </c>
      <c r="BK59" s="76">
        <f t="shared" si="19"/>
        <v>0</v>
      </c>
      <c r="BL59" s="47" t="s">
        <v>1470</v>
      </c>
      <c r="BM59" s="75" t="s">
        <v>1861</v>
      </c>
    </row>
    <row r="60" spans="3:65" s="48" customFormat="1" ht="24.15" customHeight="1">
      <c r="C60" s="79" t="s">
        <v>226</v>
      </c>
      <c r="D60" s="79" t="s">
        <v>883</v>
      </c>
      <c r="E60" s="80" t="s">
        <v>1862</v>
      </c>
      <c r="F60" s="81" t="s">
        <v>1863</v>
      </c>
      <c r="G60" s="82" t="s">
        <v>260</v>
      </c>
      <c r="H60" s="83">
        <v>3</v>
      </c>
      <c r="I60" s="527"/>
      <c r="J60" s="84">
        <f t="shared" si="10"/>
        <v>0</v>
      </c>
      <c r="K60" s="521"/>
      <c r="L60" s="533" t="s">
        <v>2474</v>
      </c>
      <c r="M60" s="530" t="s">
        <v>854</v>
      </c>
      <c r="N60" s="72" t="s">
        <v>860</v>
      </c>
      <c r="O60" s="73">
        <v>0.353</v>
      </c>
      <c r="P60" s="73">
        <f t="shared" si="11"/>
        <v>1.059</v>
      </c>
      <c r="Q60" s="73">
        <v>0</v>
      </c>
      <c r="R60" s="73">
        <f t="shared" si="12"/>
        <v>0</v>
      </c>
      <c r="S60" s="73">
        <v>0</v>
      </c>
      <c r="T60" s="74">
        <f t="shared" si="13"/>
        <v>0</v>
      </c>
      <c r="AR60" s="75" t="s">
        <v>363</v>
      </c>
      <c r="AT60" s="75" t="s">
        <v>883</v>
      </c>
      <c r="AU60" s="75" t="s">
        <v>63</v>
      </c>
      <c r="AY60" s="47" t="s">
        <v>881</v>
      </c>
      <c r="BE60" s="76">
        <f t="shared" si="14"/>
        <v>0</v>
      </c>
      <c r="BF60" s="76">
        <f t="shared" si="15"/>
        <v>0</v>
      </c>
      <c r="BG60" s="76">
        <f t="shared" si="16"/>
        <v>0</v>
      </c>
      <c r="BH60" s="76">
        <f t="shared" si="17"/>
        <v>0</v>
      </c>
      <c r="BI60" s="76">
        <f t="shared" si="18"/>
        <v>0</v>
      </c>
      <c r="BJ60" s="47" t="s">
        <v>51</v>
      </c>
      <c r="BK60" s="76">
        <f t="shared" si="19"/>
        <v>0</v>
      </c>
      <c r="BL60" s="47" t="s">
        <v>363</v>
      </c>
      <c r="BM60" s="75" t="s">
        <v>1864</v>
      </c>
    </row>
    <row r="61" spans="3:65" s="48" customFormat="1" ht="16.5" customHeight="1">
      <c r="C61" s="85" t="s">
        <v>229</v>
      </c>
      <c r="D61" s="85" t="s">
        <v>201</v>
      </c>
      <c r="E61" s="86" t="s">
        <v>1865</v>
      </c>
      <c r="F61" s="87" t="s">
        <v>1866</v>
      </c>
      <c r="G61" s="88" t="s">
        <v>260</v>
      </c>
      <c r="H61" s="89">
        <v>3</v>
      </c>
      <c r="I61" s="528"/>
      <c r="J61" s="90">
        <f t="shared" si="10"/>
        <v>0</v>
      </c>
      <c r="K61" s="522"/>
      <c r="L61" s="533" t="s">
        <v>2130</v>
      </c>
      <c r="M61" s="531" t="s">
        <v>854</v>
      </c>
      <c r="N61" s="78" t="s">
        <v>860</v>
      </c>
      <c r="O61" s="73">
        <v>0</v>
      </c>
      <c r="P61" s="73">
        <f t="shared" si="11"/>
        <v>0</v>
      </c>
      <c r="Q61" s="73">
        <v>5E-05</v>
      </c>
      <c r="R61" s="73">
        <f t="shared" si="12"/>
        <v>0.00015000000000000001</v>
      </c>
      <c r="S61" s="73">
        <v>0</v>
      </c>
      <c r="T61" s="74">
        <f t="shared" si="13"/>
        <v>0</v>
      </c>
      <c r="AR61" s="75" t="s">
        <v>1470</v>
      </c>
      <c r="AT61" s="75" t="s">
        <v>201</v>
      </c>
      <c r="AU61" s="75" t="s">
        <v>63</v>
      </c>
      <c r="AY61" s="47" t="s">
        <v>881</v>
      </c>
      <c r="BE61" s="76">
        <f t="shared" si="14"/>
        <v>0</v>
      </c>
      <c r="BF61" s="76">
        <f t="shared" si="15"/>
        <v>0</v>
      </c>
      <c r="BG61" s="76">
        <f t="shared" si="16"/>
        <v>0</v>
      </c>
      <c r="BH61" s="76">
        <f t="shared" si="17"/>
        <v>0</v>
      </c>
      <c r="BI61" s="76">
        <f t="shared" si="18"/>
        <v>0</v>
      </c>
      <c r="BJ61" s="47" t="s">
        <v>51</v>
      </c>
      <c r="BK61" s="76">
        <f t="shared" si="19"/>
        <v>0</v>
      </c>
      <c r="BL61" s="47" t="s">
        <v>1470</v>
      </c>
      <c r="BM61" s="75" t="s">
        <v>1867</v>
      </c>
    </row>
    <row r="62" spans="3:65" s="48" customFormat="1" ht="24.15" customHeight="1">
      <c r="C62" s="79" t="s">
        <v>112</v>
      </c>
      <c r="D62" s="79" t="s">
        <v>883</v>
      </c>
      <c r="E62" s="80" t="s">
        <v>1868</v>
      </c>
      <c r="F62" s="81" t="s">
        <v>1869</v>
      </c>
      <c r="G62" s="82" t="s">
        <v>260</v>
      </c>
      <c r="H62" s="83">
        <v>9</v>
      </c>
      <c r="I62" s="527"/>
      <c r="J62" s="84">
        <f t="shared" si="10"/>
        <v>0</v>
      </c>
      <c r="K62" s="521"/>
      <c r="L62" s="533" t="s">
        <v>2474</v>
      </c>
      <c r="M62" s="530" t="s">
        <v>854</v>
      </c>
      <c r="N62" s="72" t="s">
        <v>860</v>
      </c>
      <c r="O62" s="73">
        <v>0.7</v>
      </c>
      <c r="P62" s="73">
        <f t="shared" si="11"/>
        <v>6.3</v>
      </c>
      <c r="Q62" s="73">
        <v>0</v>
      </c>
      <c r="R62" s="73">
        <f t="shared" si="12"/>
        <v>0</v>
      </c>
      <c r="S62" s="73">
        <v>0</v>
      </c>
      <c r="T62" s="74">
        <f t="shared" si="13"/>
        <v>0</v>
      </c>
      <c r="AR62" s="75" t="s">
        <v>363</v>
      </c>
      <c r="AT62" s="75" t="s">
        <v>883</v>
      </c>
      <c r="AU62" s="75" t="s">
        <v>63</v>
      </c>
      <c r="AY62" s="47" t="s">
        <v>881</v>
      </c>
      <c r="BE62" s="76">
        <f t="shared" si="14"/>
        <v>0</v>
      </c>
      <c r="BF62" s="76">
        <f t="shared" si="15"/>
        <v>0</v>
      </c>
      <c r="BG62" s="76">
        <f t="shared" si="16"/>
        <v>0</v>
      </c>
      <c r="BH62" s="76">
        <f t="shared" si="17"/>
        <v>0</v>
      </c>
      <c r="BI62" s="76">
        <f t="shared" si="18"/>
        <v>0</v>
      </c>
      <c r="BJ62" s="47" t="s">
        <v>51</v>
      </c>
      <c r="BK62" s="76">
        <f t="shared" si="19"/>
        <v>0</v>
      </c>
      <c r="BL62" s="47" t="s">
        <v>363</v>
      </c>
      <c r="BM62" s="75" t="s">
        <v>1870</v>
      </c>
    </row>
    <row r="63" spans="3:65" s="48" customFormat="1" ht="16.5" customHeight="1">
      <c r="C63" s="85" t="s">
        <v>237</v>
      </c>
      <c r="D63" s="85" t="s">
        <v>201</v>
      </c>
      <c r="E63" s="86" t="s">
        <v>1871</v>
      </c>
      <c r="F63" s="87" t="s">
        <v>1872</v>
      </c>
      <c r="G63" s="88" t="s">
        <v>260</v>
      </c>
      <c r="H63" s="89">
        <v>2</v>
      </c>
      <c r="I63" s="528"/>
      <c r="J63" s="90">
        <f t="shared" si="10"/>
        <v>0</v>
      </c>
      <c r="K63" s="522"/>
      <c r="L63" s="533" t="s">
        <v>2130</v>
      </c>
      <c r="M63" s="531" t="s">
        <v>854</v>
      </c>
      <c r="N63" s="78" t="s">
        <v>860</v>
      </c>
      <c r="O63" s="73">
        <v>0</v>
      </c>
      <c r="P63" s="73">
        <f t="shared" si="11"/>
        <v>0</v>
      </c>
      <c r="Q63" s="73">
        <v>0.00092</v>
      </c>
      <c r="R63" s="73">
        <f t="shared" si="12"/>
        <v>0.00184</v>
      </c>
      <c r="S63" s="73">
        <v>0</v>
      </c>
      <c r="T63" s="74">
        <f t="shared" si="13"/>
        <v>0</v>
      </c>
      <c r="AR63" s="75" t="s">
        <v>1470</v>
      </c>
      <c r="AT63" s="75" t="s">
        <v>201</v>
      </c>
      <c r="AU63" s="75" t="s">
        <v>63</v>
      </c>
      <c r="AY63" s="47" t="s">
        <v>881</v>
      </c>
      <c r="BE63" s="76">
        <f t="shared" si="14"/>
        <v>0</v>
      </c>
      <c r="BF63" s="76">
        <f t="shared" si="15"/>
        <v>0</v>
      </c>
      <c r="BG63" s="76">
        <f t="shared" si="16"/>
        <v>0</v>
      </c>
      <c r="BH63" s="76">
        <f t="shared" si="17"/>
        <v>0</v>
      </c>
      <c r="BI63" s="76">
        <f t="shared" si="18"/>
        <v>0</v>
      </c>
      <c r="BJ63" s="47" t="s">
        <v>51</v>
      </c>
      <c r="BK63" s="76">
        <f t="shared" si="19"/>
        <v>0</v>
      </c>
      <c r="BL63" s="47" t="s">
        <v>1470</v>
      </c>
      <c r="BM63" s="75" t="s">
        <v>1873</v>
      </c>
    </row>
    <row r="64" spans="3:65" s="48" customFormat="1" ht="16.5" customHeight="1">
      <c r="C64" s="85" t="s">
        <v>243</v>
      </c>
      <c r="D64" s="85" t="s">
        <v>201</v>
      </c>
      <c r="E64" s="86" t="s">
        <v>1874</v>
      </c>
      <c r="F64" s="87" t="s">
        <v>1875</v>
      </c>
      <c r="G64" s="88" t="s">
        <v>260</v>
      </c>
      <c r="H64" s="89">
        <v>7</v>
      </c>
      <c r="I64" s="528"/>
      <c r="J64" s="90">
        <f t="shared" si="10"/>
        <v>0</v>
      </c>
      <c r="K64" s="522"/>
      <c r="L64" s="533" t="s">
        <v>2474</v>
      </c>
      <c r="M64" s="531" t="s">
        <v>854</v>
      </c>
      <c r="N64" s="78" t="s">
        <v>860</v>
      </c>
      <c r="O64" s="73">
        <v>0</v>
      </c>
      <c r="P64" s="73">
        <f t="shared" si="11"/>
        <v>0</v>
      </c>
      <c r="Q64" s="73">
        <v>0.00072</v>
      </c>
      <c r="R64" s="73">
        <f t="shared" si="12"/>
        <v>0.00504</v>
      </c>
      <c r="S64" s="73">
        <v>0</v>
      </c>
      <c r="T64" s="74">
        <f t="shared" si="13"/>
        <v>0</v>
      </c>
      <c r="AR64" s="75" t="s">
        <v>1470</v>
      </c>
      <c r="AT64" s="75" t="s">
        <v>201</v>
      </c>
      <c r="AU64" s="75" t="s">
        <v>63</v>
      </c>
      <c r="AY64" s="47" t="s">
        <v>881</v>
      </c>
      <c r="BE64" s="76">
        <f t="shared" si="14"/>
        <v>0</v>
      </c>
      <c r="BF64" s="76">
        <f t="shared" si="15"/>
        <v>0</v>
      </c>
      <c r="BG64" s="76">
        <f t="shared" si="16"/>
        <v>0</v>
      </c>
      <c r="BH64" s="76">
        <f t="shared" si="17"/>
        <v>0</v>
      </c>
      <c r="BI64" s="76">
        <f t="shared" si="18"/>
        <v>0</v>
      </c>
      <c r="BJ64" s="47" t="s">
        <v>51</v>
      </c>
      <c r="BK64" s="76">
        <f t="shared" si="19"/>
        <v>0</v>
      </c>
      <c r="BL64" s="47" t="s">
        <v>1470</v>
      </c>
      <c r="BM64" s="75" t="s">
        <v>1876</v>
      </c>
    </row>
    <row r="65" spans="3:65" s="48" customFormat="1" ht="16.5" customHeight="1">
      <c r="C65" s="79" t="s">
        <v>144</v>
      </c>
      <c r="D65" s="79" t="s">
        <v>883</v>
      </c>
      <c r="E65" s="80" t="s">
        <v>1877</v>
      </c>
      <c r="F65" s="81" t="s">
        <v>1878</v>
      </c>
      <c r="G65" s="82" t="s">
        <v>74</v>
      </c>
      <c r="H65" s="83">
        <v>62</v>
      </c>
      <c r="I65" s="527"/>
      <c r="J65" s="84">
        <f t="shared" si="10"/>
        <v>0</v>
      </c>
      <c r="K65" s="521"/>
      <c r="L65" s="533" t="s">
        <v>2474</v>
      </c>
      <c r="M65" s="530" t="s">
        <v>854</v>
      </c>
      <c r="N65" s="72" t="s">
        <v>860</v>
      </c>
      <c r="O65" s="73">
        <v>0.068</v>
      </c>
      <c r="P65" s="73">
        <f t="shared" si="11"/>
        <v>4.216</v>
      </c>
      <c r="Q65" s="73">
        <v>1E-05</v>
      </c>
      <c r="R65" s="73">
        <f t="shared" si="12"/>
        <v>0.00062</v>
      </c>
      <c r="S65" s="73">
        <v>0</v>
      </c>
      <c r="T65" s="74">
        <f t="shared" si="13"/>
        <v>0</v>
      </c>
      <c r="AR65" s="75" t="s">
        <v>363</v>
      </c>
      <c r="AT65" s="75" t="s">
        <v>883</v>
      </c>
      <c r="AU65" s="75" t="s">
        <v>63</v>
      </c>
      <c r="AY65" s="47" t="s">
        <v>881</v>
      </c>
      <c r="BE65" s="76">
        <f t="shared" si="14"/>
        <v>0</v>
      </c>
      <c r="BF65" s="76">
        <f t="shared" si="15"/>
        <v>0</v>
      </c>
      <c r="BG65" s="76">
        <f t="shared" si="16"/>
        <v>0</v>
      </c>
      <c r="BH65" s="76">
        <f t="shared" si="17"/>
        <v>0</v>
      </c>
      <c r="BI65" s="76">
        <f t="shared" si="18"/>
        <v>0</v>
      </c>
      <c r="BJ65" s="47" t="s">
        <v>51</v>
      </c>
      <c r="BK65" s="76">
        <f t="shared" si="19"/>
        <v>0</v>
      </c>
      <c r="BL65" s="47" t="s">
        <v>363</v>
      </c>
      <c r="BM65" s="75" t="s">
        <v>1879</v>
      </c>
    </row>
    <row r="66" spans="3:65" s="48" customFormat="1" ht="21.75" customHeight="1">
      <c r="C66" s="79" t="s">
        <v>250</v>
      </c>
      <c r="D66" s="79" t="s">
        <v>883</v>
      </c>
      <c r="E66" s="80" t="s">
        <v>1880</v>
      </c>
      <c r="F66" s="81" t="s">
        <v>1881</v>
      </c>
      <c r="G66" s="82" t="s">
        <v>74</v>
      </c>
      <c r="H66" s="83">
        <v>6</v>
      </c>
      <c r="I66" s="527"/>
      <c r="J66" s="84">
        <f t="shared" si="10"/>
        <v>0</v>
      </c>
      <c r="K66" s="521"/>
      <c r="L66" s="533" t="s">
        <v>2474</v>
      </c>
      <c r="M66" s="530" t="s">
        <v>854</v>
      </c>
      <c r="N66" s="72" t="s">
        <v>860</v>
      </c>
      <c r="O66" s="73">
        <v>0.018</v>
      </c>
      <c r="P66" s="73">
        <f t="shared" si="11"/>
        <v>0.10799999999999998</v>
      </c>
      <c r="Q66" s="73">
        <v>0</v>
      </c>
      <c r="R66" s="73">
        <f t="shared" si="12"/>
        <v>0</v>
      </c>
      <c r="S66" s="73">
        <v>0</v>
      </c>
      <c r="T66" s="74">
        <f t="shared" si="13"/>
        <v>0</v>
      </c>
      <c r="AR66" s="75" t="s">
        <v>363</v>
      </c>
      <c r="AT66" s="75" t="s">
        <v>883</v>
      </c>
      <c r="AU66" s="75" t="s">
        <v>63</v>
      </c>
      <c r="AY66" s="47" t="s">
        <v>881</v>
      </c>
      <c r="BE66" s="76">
        <f t="shared" si="14"/>
        <v>0</v>
      </c>
      <c r="BF66" s="76">
        <f t="shared" si="15"/>
        <v>0</v>
      </c>
      <c r="BG66" s="76">
        <f t="shared" si="16"/>
        <v>0</v>
      </c>
      <c r="BH66" s="76">
        <f t="shared" si="17"/>
        <v>0</v>
      </c>
      <c r="BI66" s="76">
        <f t="shared" si="18"/>
        <v>0</v>
      </c>
      <c r="BJ66" s="47" t="s">
        <v>51</v>
      </c>
      <c r="BK66" s="76">
        <f t="shared" si="19"/>
        <v>0</v>
      </c>
      <c r="BL66" s="47" t="s">
        <v>363</v>
      </c>
      <c r="BM66" s="75" t="s">
        <v>1882</v>
      </c>
    </row>
    <row r="67" spans="3:65" s="48" customFormat="1" ht="21.75" customHeight="1">
      <c r="C67" s="79" t="s">
        <v>253</v>
      </c>
      <c r="D67" s="79" t="s">
        <v>883</v>
      </c>
      <c r="E67" s="80" t="s">
        <v>1883</v>
      </c>
      <c r="F67" s="81" t="s">
        <v>1884</v>
      </c>
      <c r="G67" s="82" t="s">
        <v>74</v>
      </c>
      <c r="H67" s="83">
        <v>56</v>
      </c>
      <c r="I67" s="527"/>
      <c r="J67" s="84">
        <f t="shared" si="10"/>
        <v>0</v>
      </c>
      <c r="K67" s="521"/>
      <c r="L67" s="533" t="s">
        <v>2474</v>
      </c>
      <c r="M67" s="530" t="s">
        <v>854</v>
      </c>
      <c r="N67" s="72" t="s">
        <v>860</v>
      </c>
      <c r="O67" s="73">
        <v>0.021</v>
      </c>
      <c r="P67" s="73">
        <f t="shared" si="11"/>
        <v>1.1760000000000002</v>
      </c>
      <c r="Q67" s="73">
        <v>0</v>
      </c>
      <c r="R67" s="73">
        <f t="shared" si="12"/>
        <v>0</v>
      </c>
      <c r="S67" s="73">
        <v>0</v>
      </c>
      <c r="T67" s="74">
        <f t="shared" si="13"/>
        <v>0</v>
      </c>
      <c r="AR67" s="75" t="s">
        <v>363</v>
      </c>
      <c r="AT67" s="75" t="s">
        <v>883</v>
      </c>
      <c r="AU67" s="75" t="s">
        <v>63</v>
      </c>
      <c r="AY67" s="47" t="s">
        <v>881</v>
      </c>
      <c r="BE67" s="76">
        <f t="shared" si="14"/>
        <v>0</v>
      </c>
      <c r="BF67" s="76">
        <f t="shared" si="15"/>
        <v>0</v>
      </c>
      <c r="BG67" s="76">
        <f t="shared" si="16"/>
        <v>0</v>
      </c>
      <c r="BH67" s="76">
        <f t="shared" si="17"/>
        <v>0</v>
      </c>
      <c r="BI67" s="76">
        <f t="shared" si="18"/>
        <v>0</v>
      </c>
      <c r="BJ67" s="47" t="s">
        <v>51</v>
      </c>
      <c r="BK67" s="76">
        <f t="shared" si="19"/>
        <v>0</v>
      </c>
      <c r="BL67" s="47" t="s">
        <v>363</v>
      </c>
      <c r="BM67" s="75" t="s">
        <v>1885</v>
      </c>
    </row>
    <row r="68" spans="4:63" s="64" customFormat="1" ht="25.95" customHeight="1">
      <c r="D68" s="65" t="s">
        <v>877</v>
      </c>
      <c r="E68" s="203" t="s">
        <v>1170</v>
      </c>
      <c r="F68" s="203" t="s">
        <v>1171</v>
      </c>
      <c r="J68" s="204">
        <f>BK68</f>
        <v>0</v>
      </c>
      <c r="P68" s="67">
        <f>P69+P73</f>
        <v>0</v>
      </c>
      <c r="R68" s="67">
        <f>R69+R73</f>
        <v>0</v>
      </c>
      <c r="T68" s="68">
        <f>T69+T73</f>
        <v>0</v>
      </c>
      <c r="AR68" s="65" t="s">
        <v>78</v>
      </c>
      <c r="AT68" s="69" t="s">
        <v>877</v>
      </c>
      <c r="AU68" s="69" t="s">
        <v>880</v>
      </c>
      <c r="AY68" s="65" t="s">
        <v>881</v>
      </c>
      <c r="BK68" s="70">
        <f>BK69+BK73</f>
        <v>0</v>
      </c>
    </row>
    <row r="69" spans="4:63" s="64" customFormat="1" ht="22.95" customHeight="1">
      <c r="D69" s="65" t="s">
        <v>877</v>
      </c>
      <c r="E69" s="205" t="s">
        <v>1172</v>
      </c>
      <c r="F69" s="205" t="s">
        <v>1173</v>
      </c>
      <c r="J69" s="206">
        <f>BK69</f>
        <v>0</v>
      </c>
      <c r="P69" s="67">
        <f>SUM(P70:P72)</f>
        <v>0</v>
      </c>
      <c r="R69" s="67">
        <f>SUM(R70:R72)</f>
        <v>0</v>
      </c>
      <c r="T69" s="68">
        <f>SUM(T70:T72)</f>
        <v>0</v>
      </c>
      <c r="AR69" s="65" t="s">
        <v>78</v>
      </c>
      <c r="AT69" s="69" t="s">
        <v>877</v>
      </c>
      <c r="AU69" s="69" t="s">
        <v>51</v>
      </c>
      <c r="AY69" s="65" t="s">
        <v>881</v>
      </c>
      <c r="BK69" s="70">
        <f>SUM(BK70:BK72)</f>
        <v>0</v>
      </c>
    </row>
    <row r="70" spans="3:65" s="48" customFormat="1" ht="24.15" customHeight="1">
      <c r="C70" s="79" t="s">
        <v>257</v>
      </c>
      <c r="D70" s="79" t="s">
        <v>883</v>
      </c>
      <c r="E70" s="80" t="s">
        <v>1174</v>
      </c>
      <c r="F70" s="81" t="s">
        <v>1886</v>
      </c>
      <c r="G70" s="82" t="s">
        <v>1134</v>
      </c>
      <c r="H70" s="83">
        <v>1</v>
      </c>
      <c r="I70" s="527"/>
      <c r="J70" s="84">
        <f>ROUND(I70*H70,2)</f>
        <v>0</v>
      </c>
      <c r="K70" s="521"/>
      <c r="L70" s="533" t="s">
        <v>2474</v>
      </c>
      <c r="M70" s="530" t="s">
        <v>854</v>
      </c>
      <c r="N70" s="72" t="s">
        <v>860</v>
      </c>
      <c r="O70" s="73">
        <v>0</v>
      </c>
      <c r="P70" s="73">
        <f>O70*H70</f>
        <v>0</v>
      </c>
      <c r="Q70" s="73">
        <v>0</v>
      </c>
      <c r="R70" s="73">
        <f>Q70*H70</f>
        <v>0</v>
      </c>
      <c r="S70" s="73">
        <v>0</v>
      </c>
      <c r="T70" s="74">
        <f>S70*H70</f>
        <v>0</v>
      </c>
      <c r="AR70" s="75" t="s">
        <v>1176</v>
      </c>
      <c r="AT70" s="75" t="s">
        <v>883</v>
      </c>
      <c r="AU70" s="75" t="s">
        <v>63</v>
      </c>
      <c r="AY70" s="47" t="s">
        <v>881</v>
      </c>
      <c r="BE70" s="76">
        <f>IF(N70="základní",J70,0)</f>
        <v>0</v>
      </c>
      <c r="BF70" s="76">
        <f>IF(N70="snížená",J70,0)</f>
        <v>0</v>
      </c>
      <c r="BG70" s="76">
        <f>IF(N70="zákl. přenesená",J70,0)</f>
        <v>0</v>
      </c>
      <c r="BH70" s="76">
        <f>IF(N70="sníž. přenesená",J70,0)</f>
        <v>0</v>
      </c>
      <c r="BI70" s="76">
        <f>IF(N70="nulová",J70,0)</f>
        <v>0</v>
      </c>
      <c r="BJ70" s="47" t="s">
        <v>51</v>
      </c>
      <c r="BK70" s="76">
        <f>ROUND(I70*H70,2)</f>
        <v>0</v>
      </c>
      <c r="BL70" s="47" t="s">
        <v>1176</v>
      </c>
      <c r="BM70" s="75" t="s">
        <v>1887</v>
      </c>
    </row>
    <row r="71" spans="3:65" s="48" customFormat="1" ht="24.15" customHeight="1">
      <c r="C71" s="79" t="s">
        <v>262</v>
      </c>
      <c r="D71" s="79" t="s">
        <v>883</v>
      </c>
      <c r="E71" s="80" t="s">
        <v>1178</v>
      </c>
      <c r="F71" s="81" t="s">
        <v>1888</v>
      </c>
      <c r="G71" s="82" t="s">
        <v>1134</v>
      </c>
      <c r="H71" s="83">
        <v>1</v>
      </c>
      <c r="I71" s="527"/>
      <c r="J71" s="84">
        <f>ROUND(I71*H71,2)</f>
        <v>0</v>
      </c>
      <c r="K71" s="521"/>
      <c r="L71" s="533" t="s">
        <v>2474</v>
      </c>
      <c r="M71" s="530" t="s">
        <v>854</v>
      </c>
      <c r="N71" s="72" t="s">
        <v>860</v>
      </c>
      <c r="O71" s="73">
        <v>0</v>
      </c>
      <c r="P71" s="73">
        <f>O71*H71</f>
        <v>0</v>
      </c>
      <c r="Q71" s="73">
        <v>0</v>
      </c>
      <c r="R71" s="73">
        <f>Q71*H71</f>
        <v>0</v>
      </c>
      <c r="S71" s="73">
        <v>0</v>
      </c>
      <c r="T71" s="74">
        <f>S71*H71</f>
        <v>0</v>
      </c>
      <c r="AR71" s="75" t="s">
        <v>1176</v>
      </c>
      <c r="AT71" s="75" t="s">
        <v>883</v>
      </c>
      <c r="AU71" s="75" t="s">
        <v>63</v>
      </c>
      <c r="AY71" s="47" t="s">
        <v>881</v>
      </c>
      <c r="BE71" s="76">
        <f>IF(N71="základní",J71,0)</f>
        <v>0</v>
      </c>
      <c r="BF71" s="76">
        <f>IF(N71="snížená",J71,0)</f>
        <v>0</v>
      </c>
      <c r="BG71" s="76">
        <f>IF(N71="zákl. přenesená",J71,0)</f>
        <v>0</v>
      </c>
      <c r="BH71" s="76">
        <f>IF(N71="sníž. přenesená",J71,0)</f>
        <v>0</v>
      </c>
      <c r="BI71" s="76">
        <f>IF(N71="nulová",J71,0)</f>
        <v>0</v>
      </c>
      <c r="BJ71" s="47" t="s">
        <v>51</v>
      </c>
      <c r="BK71" s="76">
        <f>ROUND(I71*H71,2)</f>
        <v>0</v>
      </c>
      <c r="BL71" s="47" t="s">
        <v>1176</v>
      </c>
      <c r="BM71" s="75" t="s">
        <v>1889</v>
      </c>
    </row>
    <row r="72" spans="3:65" s="48" customFormat="1" ht="16.5" customHeight="1">
      <c r="C72" s="79" t="s">
        <v>266</v>
      </c>
      <c r="D72" s="79" t="s">
        <v>883</v>
      </c>
      <c r="E72" s="80" t="s">
        <v>1181</v>
      </c>
      <c r="F72" s="81" t="s">
        <v>1182</v>
      </c>
      <c r="G72" s="82" t="s">
        <v>1134</v>
      </c>
      <c r="H72" s="83">
        <v>1</v>
      </c>
      <c r="I72" s="527"/>
      <c r="J72" s="84">
        <f>ROUND(I72*H72,2)</f>
        <v>0</v>
      </c>
      <c r="K72" s="521"/>
      <c r="L72" s="533" t="s">
        <v>2474</v>
      </c>
      <c r="M72" s="530" t="s">
        <v>854</v>
      </c>
      <c r="N72" s="72" t="s">
        <v>860</v>
      </c>
      <c r="O72" s="73">
        <v>0</v>
      </c>
      <c r="P72" s="73">
        <f>O72*H72</f>
        <v>0</v>
      </c>
      <c r="Q72" s="73">
        <v>0</v>
      </c>
      <c r="R72" s="73">
        <f>Q72*H72</f>
        <v>0</v>
      </c>
      <c r="S72" s="73">
        <v>0</v>
      </c>
      <c r="T72" s="74">
        <f>S72*H72</f>
        <v>0</v>
      </c>
      <c r="AR72" s="75" t="s">
        <v>1176</v>
      </c>
      <c r="AT72" s="75" t="s">
        <v>883</v>
      </c>
      <c r="AU72" s="75" t="s">
        <v>63</v>
      </c>
      <c r="AY72" s="47" t="s">
        <v>881</v>
      </c>
      <c r="BE72" s="76">
        <f>IF(N72="základní",J72,0)</f>
        <v>0</v>
      </c>
      <c r="BF72" s="76">
        <f>IF(N72="snížená",J72,0)</f>
        <v>0</v>
      </c>
      <c r="BG72" s="76">
        <f>IF(N72="zákl. přenesená",J72,0)</f>
        <v>0</v>
      </c>
      <c r="BH72" s="76">
        <f>IF(N72="sníž. přenesená",J72,0)</f>
        <v>0</v>
      </c>
      <c r="BI72" s="76">
        <f>IF(N72="nulová",J72,0)</f>
        <v>0</v>
      </c>
      <c r="BJ72" s="47" t="s">
        <v>51</v>
      </c>
      <c r="BK72" s="76">
        <f>ROUND(I72*H72,2)</f>
        <v>0</v>
      </c>
      <c r="BL72" s="47" t="s">
        <v>1176</v>
      </c>
      <c r="BM72" s="75" t="s">
        <v>1890</v>
      </c>
    </row>
    <row r="73" spans="4:63" s="64" customFormat="1" ht="22.95" customHeight="1">
      <c r="D73" s="65" t="s">
        <v>877</v>
      </c>
      <c r="E73" s="205" t="s">
        <v>1184</v>
      </c>
      <c r="F73" s="205" t="s">
        <v>1185</v>
      </c>
      <c r="J73" s="206">
        <f>BK73</f>
        <v>0</v>
      </c>
      <c r="P73" s="67">
        <f>SUM(P74:P75)</f>
        <v>0</v>
      </c>
      <c r="R73" s="67">
        <f>SUM(R74:R75)</f>
        <v>0</v>
      </c>
      <c r="T73" s="68">
        <f>SUM(T74:T75)</f>
        <v>0</v>
      </c>
      <c r="AR73" s="65" t="s">
        <v>78</v>
      </c>
      <c r="AT73" s="69" t="s">
        <v>877</v>
      </c>
      <c r="AU73" s="69" t="s">
        <v>51</v>
      </c>
      <c r="AY73" s="65" t="s">
        <v>881</v>
      </c>
      <c r="BK73" s="70">
        <f>SUM(BK74:BK75)</f>
        <v>0</v>
      </c>
    </row>
    <row r="74" spans="3:65" s="48" customFormat="1" ht="24.15" customHeight="1">
      <c r="C74" s="79" t="s">
        <v>270</v>
      </c>
      <c r="D74" s="79" t="s">
        <v>883</v>
      </c>
      <c r="E74" s="80" t="s">
        <v>1189</v>
      </c>
      <c r="F74" s="81" t="s">
        <v>1190</v>
      </c>
      <c r="G74" s="82" t="s">
        <v>1134</v>
      </c>
      <c r="H74" s="83">
        <v>1</v>
      </c>
      <c r="I74" s="527"/>
      <c r="J74" s="84">
        <f>ROUND(I74*H74,2)</f>
        <v>0</v>
      </c>
      <c r="K74" s="521"/>
      <c r="L74" s="533" t="s">
        <v>2474</v>
      </c>
      <c r="M74" s="530" t="s">
        <v>854</v>
      </c>
      <c r="N74" s="72" t="s">
        <v>860</v>
      </c>
      <c r="O74" s="73">
        <v>0</v>
      </c>
      <c r="P74" s="73">
        <f>O74*H74</f>
        <v>0</v>
      </c>
      <c r="Q74" s="73">
        <v>0</v>
      </c>
      <c r="R74" s="73">
        <f>Q74*H74</f>
        <v>0</v>
      </c>
      <c r="S74" s="73">
        <v>0</v>
      </c>
      <c r="T74" s="74">
        <f>S74*H74</f>
        <v>0</v>
      </c>
      <c r="AR74" s="75" t="s">
        <v>1176</v>
      </c>
      <c r="AT74" s="75" t="s">
        <v>883</v>
      </c>
      <c r="AU74" s="75" t="s">
        <v>63</v>
      </c>
      <c r="AY74" s="47" t="s">
        <v>881</v>
      </c>
      <c r="BE74" s="76">
        <f>IF(N74="základní",J74,0)</f>
        <v>0</v>
      </c>
      <c r="BF74" s="76">
        <f>IF(N74="snížená",J74,0)</f>
        <v>0</v>
      </c>
      <c r="BG74" s="76">
        <f>IF(N74="zákl. přenesená",J74,0)</f>
        <v>0</v>
      </c>
      <c r="BH74" s="76">
        <f>IF(N74="sníž. přenesená",J74,0)</f>
        <v>0</v>
      </c>
      <c r="BI74" s="76">
        <f>IF(N74="nulová",J74,0)</f>
        <v>0</v>
      </c>
      <c r="BJ74" s="47" t="s">
        <v>51</v>
      </c>
      <c r="BK74" s="76">
        <f>ROUND(I74*H74,2)</f>
        <v>0</v>
      </c>
      <c r="BL74" s="47" t="s">
        <v>1176</v>
      </c>
      <c r="BM74" s="75" t="s">
        <v>1891</v>
      </c>
    </row>
    <row r="75" spans="3:65" s="48" customFormat="1" ht="16.5" customHeight="1">
      <c r="C75" s="79" t="s">
        <v>275</v>
      </c>
      <c r="D75" s="79" t="s">
        <v>883</v>
      </c>
      <c r="E75" s="80" t="s">
        <v>1892</v>
      </c>
      <c r="F75" s="81" t="s">
        <v>1893</v>
      </c>
      <c r="G75" s="82" t="s">
        <v>1894</v>
      </c>
      <c r="H75" s="83">
        <v>1</v>
      </c>
      <c r="I75" s="527"/>
      <c r="J75" s="84">
        <f>ROUND(I75*H75,2)</f>
        <v>0</v>
      </c>
      <c r="K75" s="521"/>
      <c r="L75" s="533" t="s">
        <v>2474</v>
      </c>
      <c r="M75" s="532" t="s">
        <v>854</v>
      </c>
      <c r="N75" s="92" t="s">
        <v>860</v>
      </c>
      <c r="O75" s="93">
        <v>0</v>
      </c>
      <c r="P75" s="93">
        <f>O75*H75</f>
        <v>0</v>
      </c>
      <c r="Q75" s="93">
        <v>0</v>
      </c>
      <c r="R75" s="93">
        <f>Q75*H75</f>
        <v>0</v>
      </c>
      <c r="S75" s="93">
        <v>0</v>
      </c>
      <c r="T75" s="94">
        <f>S75*H75</f>
        <v>0</v>
      </c>
      <c r="AR75" s="75" t="s">
        <v>1176</v>
      </c>
      <c r="AT75" s="75" t="s">
        <v>883</v>
      </c>
      <c r="AU75" s="75" t="s">
        <v>63</v>
      </c>
      <c r="AY75" s="47" t="s">
        <v>881</v>
      </c>
      <c r="BE75" s="76">
        <f>IF(N75="základní",J75,0)</f>
        <v>0</v>
      </c>
      <c r="BF75" s="76">
        <f>IF(N75="snížená",J75,0)</f>
        <v>0</v>
      </c>
      <c r="BG75" s="76">
        <f>IF(N75="zákl. přenesená",J75,0)</f>
        <v>0</v>
      </c>
      <c r="BH75" s="76">
        <f>IF(N75="sníž. přenesená",J75,0)</f>
        <v>0</v>
      </c>
      <c r="BI75" s="76">
        <f>IF(N75="nulová",J75,0)</f>
        <v>0</v>
      </c>
      <c r="BJ75" s="47" t="s">
        <v>51</v>
      </c>
      <c r="BK75" s="76">
        <f>ROUND(I75*H75,2)</f>
        <v>0</v>
      </c>
      <c r="BL75" s="47" t="s">
        <v>1176</v>
      </c>
      <c r="BM75" s="75" t="s">
        <v>1895</v>
      </c>
    </row>
    <row r="76" s="48" customFormat="1" ht="6.9" customHeight="1">
      <c r="K76" s="50"/>
    </row>
  </sheetData>
  <sheetProtection algorithmName="SHA-512" hashValue="Ot+MXf8aQQjPpZQ2iiC3Rm0L+YTxDP2WIkX3BvKFVhLPDR21hCdA7akhM5DSm8JbSXaPNymO+RCfK/o5JrCNtA==" saltValue="OAjsUnYtjiASsFGCK+KL1w==" spinCount="100000" sheet="1" objects="1" scenarios="1"/>
  <mergeCells count="2">
    <mergeCell ref="E6:H6"/>
    <mergeCell ref="E8:H8"/>
  </mergeCells>
  <printOptions horizontalCentered="1"/>
  <pageMargins left="0.7086614173228347" right="0.7086614173228347" top="0.7874015748031497" bottom="0.7874015748031497" header="0.31496062992125984" footer="0.31496062992125984"/>
  <pageSetup fitToHeight="100" fitToWidth="1" horizontalDpi="600" verticalDpi="600" orientation="portrait" paperSize="9" scale="75" r:id="rId1"/>
  <headerFooter>
    <oddFooter>&amp;CStrana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F1CF-5E66-4C8C-BA23-EFB8232B825C}">
  <sheetPr>
    <pageSetUpPr fitToPage="1"/>
  </sheetPr>
  <dimension ref="C2:BM86"/>
  <sheetViews>
    <sheetView showGridLines="0" view="pageBreakPreview" zoomScale="115" zoomScaleSheetLayoutView="115" workbookViewId="0" topLeftCell="A36">
      <selection activeCell="F52" sqref="F52"/>
    </sheetView>
  </sheetViews>
  <sheetFormatPr defaultColWidth="9.140625" defaultRowHeight="15"/>
  <cols>
    <col min="1" max="1" width="6.421875" style="0" customWidth="1"/>
    <col min="2" max="2" width="0.85546875" style="0" customWidth="1"/>
    <col min="3" max="4" width="3.28125" style="0" customWidth="1"/>
    <col min="5" max="5" width="13.28125" style="0" customWidth="1"/>
    <col min="6" max="6" width="39.57421875" style="0" customWidth="1"/>
    <col min="7" max="7" width="5.7109375" style="0" customWidth="1"/>
    <col min="8" max="8" width="10.8515625" style="0" customWidth="1"/>
    <col min="9" max="9" width="12.28125" style="0" customWidth="1"/>
    <col min="10" max="10" width="17.28125" style="0" customWidth="1"/>
    <col min="11" max="11" width="17.28125" style="0" hidden="1" customWidth="1"/>
    <col min="12" max="12" width="8.7109375" style="526" customWidth="1"/>
    <col min="13" max="13" width="8.421875" style="0" hidden="1" customWidth="1"/>
    <col min="14" max="14" width="9.140625" style="0" hidden="1" customWidth="1"/>
    <col min="15" max="20" width="11.00390625" style="0" hidden="1" customWidth="1"/>
    <col min="21" max="21" width="12.7109375" style="0" hidden="1" customWidth="1"/>
    <col min="22" max="22" width="9.57421875" style="0" hidden="1" customWidth="1"/>
    <col min="23" max="23" width="12.7109375" style="0" hidden="1" customWidth="1"/>
    <col min="24" max="24" width="9.57421875" style="0" hidden="1" customWidth="1"/>
    <col min="25" max="25" width="11.7109375" style="0" hidden="1" customWidth="1"/>
    <col min="26" max="26" width="8.57421875" style="0" hidden="1" customWidth="1"/>
    <col min="27" max="27" width="11.7109375" style="0" hidden="1" customWidth="1"/>
    <col min="28" max="28" width="12.7109375" style="0" hidden="1" customWidth="1"/>
    <col min="29" max="29" width="8.57421875" style="0" hidden="1" customWidth="1"/>
    <col min="30" max="30" width="11.7109375" style="0" hidden="1" customWidth="1"/>
    <col min="31" max="31" width="12.7109375" style="0" hidden="1" customWidth="1"/>
    <col min="32" max="135" width="9.140625" style="0" hidden="1" customWidth="1"/>
  </cols>
  <sheetData>
    <row r="2" spans="11:12" s="48" customFormat="1" ht="6.9" customHeight="1">
      <c r="K2" s="51"/>
      <c r="L2" s="524"/>
    </row>
    <row r="3" spans="3:12" s="48" customFormat="1" ht="24.9" customHeight="1">
      <c r="C3" s="196" t="s">
        <v>864</v>
      </c>
      <c r="L3" s="524"/>
    </row>
    <row r="4" s="48" customFormat="1" ht="6.9" customHeight="1">
      <c r="L4" s="524"/>
    </row>
    <row r="5" spans="3:12" s="48" customFormat="1" ht="12" customHeight="1">
      <c r="C5" s="197" t="s">
        <v>851</v>
      </c>
      <c r="L5" s="524"/>
    </row>
    <row r="6" spans="5:12" s="48" customFormat="1" ht="26.25" customHeight="1">
      <c r="E6" s="645" t="s">
        <v>1985</v>
      </c>
      <c r="F6" s="646"/>
      <c r="G6" s="646"/>
      <c r="H6" s="646"/>
      <c r="L6" s="524"/>
    </row>
    <row r="7" spans="3:12" s="48" customFormat="1" ht="12" customHeight="1">
      <c r="C7" s="197" t="s">
        <v>852</v>
      </c>
      <c r="L7" s="524"/>
    </row>
    <row r="8" spans="5:12" s="48" customFormat="1" ht="30" customHeight="1">
      <c r="E8" s="647" t="s">
        <v>1897</v>
      </c>
      <c r="F8" s="648"/>
      <c r="G8" s="648"/>
      <c r="H8" s="648"/>
      <c r="L8" s="524"/>
    </row>
    <row r="9" s="48" customFormat="1" ht="6.9" customHeight="1">
      <c r="L9" s="524"/>
    </row>
    <row r="10" spans="3:12" s="48" customFormat="1" ht="12" customHeight="1">
      <c r="C10" s="197" t="s">
        <v>855</v>
      </c>
      <c r="F10" s="198"/>
      <c r="I10" s="197" t="s">
        <v>856</v>
      </c>
      <c r="J10" s="199"/>
      <c r="L10" s="524"/>
    </row>
    <row r="11" s="48" customFormat="1" ht="6.9" customHeight="1">
      <c r="L11" s="524"/>
    </row>
    <row r="12" spans="3:12" s="48" customFormat="1" ht="15.15" customHeight="1">
      <c r="C12" s="197" t="s">
        <v>857</v>
      </c>
      <c r="F12" s="198"/>
      <c r="I12" s="197" t="s">
        <v>10</v>
      </c>
      <c r="J12" s="200"/>
      <c r="L12" s="524"/>
    </row>
    <row r="13" spans="3:12" s="48" customFormat="1" ht="15.15" customHeight="1">
      <c r="C13" s="197" t="s">
        <v>15</v>
      </c>
      <c r="F13" s="534"/>
      <c r="I13" s="197" t="s">
        <v>858</v>
      </c>
      <c r="J13" s="200"/>
      <c r="L13" s="524"/>
    </row>
    <row r="14" s="48" customFormat="1" ht="10.35" customHeight="1">
      <c r="L14" s="524"/>
    </row>
    <row r="15" spans="3:20" s="59" customFormat="1" ht="29.25" customHeight="1">
      <c r="C15" s="52" t="s">
        <v>865</v>
      </c>
      <c r="D15" s="53" t="s">
        <v>866</v>
      </c>
      <c r="E15" s="53" t="s">
        <v>20</v>
      </c>
      <c r="F15" s="53" t="s">
        <v>867</v>
      </c>
      <c r="G15" s="53" t="s">
        <v>22</v>
      </c>
      <c r="H15" s="53" t="s">
        <v>23</v>
      </c>
      <c r="I15" s="53" t="s">
        <v>868</v>
      </c>
      <c r="J15" s="54" t="s">
        <v>862</v>
      </c>
      <c r="K15" s="55" t="s">
        <v>869</v>
      </c>
      <c r="L15" s="523" t="s">
        <v>2475</v>
      </c>
      <c r="M15" s="56" t="s">
        <v>854</v>
      </c>
      <c r="N15" s="57" t="s">
        <v>859</v>
      </c>
      <c r="O15" s="57" t="s">
        <v>870</v>
      </c>
      <c r="P15" s="57" t="s">
        <v>871</v>
      </c>
      <c r="Q15" s="57" t="s">
        <v>872</v>
      </c>
      <c r="R15" s="57" t="s">
        <v>873</v>
      </c>
      <c r="S15" s="57" t="s">
        <v>874</v>
      </c>
      <c r="T15" s="58" t="s">
        <v>875</v>
      </c>
    </row>
    <row r="16" spans="3:63" s="48" customFormat="1" ht="22.95" customHeight="1">
      <c r="C16" s="201" t="s">
        <v>876</v>
      </c>
      <c r="J16" s="202">
        <f>BK16</f>
        <v>0</v>
      </c>
      <c r="L16" s="524"/>
      <c r="M16" s="60"/>
      <c r="N16" s="49"/>
      <c r="O16" s="49"/>
      <c r="P16" s="61">
        <f>P17+P50+P56+P78</f>
        <v>1328.8541999999998</v>
      </c>
      <c r="Q16" s="49"/>
      <c r="R16" s="61">
        <f>R17+R50+R56+R78</f>
        <v>133.71721545</v>
      </c>
      <c r="S16" s="49"/>
      <c r="T16" s="62">
        <f>T17+T50+T56+T78</f>
        <v>21.025000000000002</v>
      </c>
      <c r="AT16" s="47" t="s">
        <v>877</v>
      </c>
      <c r="AU16" s="47" t="s">
        <v>863</v>
      </c>
      <c r="BK16" s="63">
        <f>BK17+BK50+BK56+BK78</f>
        <v>0</v>
      </c>
    </row>
    <row r="17" spans="4:63" s="64" customFormat="1" ht="25.95" customHeight="1">
      <c r="D17" s="65" t="s">
        <v>877</v>
      </c>
      <c r="E17" s="203" t="s">
        <v>878</v>
      </c>
      <c r="F17" s="203" t="s">
        <v>879</v>
      </c>
      <c r="J17" s="204">
        <f>BK17</f>
        <v>0</v>
      </c>
      <c r="L17" s="69"/>
      <c r="M17" s="66"/>
      <c r="P17" s="67">
        <f>P18+P31+P33+P38+P41+P43+P48</f>
        <v>1190.3181999999997</v>
      </c>
      <c r="R17" s="67">
        <f>R18+R31+R33+R38+R41+R43+R48</f>
        <v>132.65071</v>
      </c>
      <c r="T17" s="68">
        <f>T18+T31+T33+T38+T41+T43+T48</f>
        <v>21.025000000000002</v>
      </c>
      <c r="AR17" s="65" t="s">
        <v>51</v>
      </c>
      <c r="AT17" s="69" t="s">
        <v>877</v>
      </c>
      <c r="AU17" s="69" t="s">
        <v>880</v>
      </c>
      <c r="AY17" s="65" t="s">
        <v>881</v>
      </c>
      <c r="BK17" s="70">
        <f>BK18+BK31+BK33+BK38+BK41+BK43+BK48</f>
        <v>0</v>
      </c>
    </row>
    <row r="18" spans="4:63" s="64" customFormat="1" ht="22.95" customHeight="1">
      <c r="D18" s="65" t="s">
        <v>877</v>
      </c>
      <c r="E18" s="205" t="s">
        <v>51</v>
      </c>
      <c r="F18" s="205" t="s">
        <v>882</v>
      </c>
      <c r="J18" s="206">
        <f>BK18</f>
        <v>0</v>
      </c>
      <c r="L18" s="69"/>
      <c r="M18" s="66"/>
      <c r="P18" s="67">
        <f>SUM(P19:P30)</f>
        <v>783.3322999999999</v>
      </c>
      <c r="R18" s="67">
        <f>SUM(R19:R30)</f>
        <v>95.85</v>
      </c>
      <c r="T18" s="68">
        <f>SUM(T19:T30)</f>
        <v>21.025000000000002</v>
      </c>
      <c r="AR18" s="65" t="s">
        <v>51</v>
      </c>
      <c r="AT18" s="69" t="s">
        <v>877</v>
      </c>
      <c r="AU18" s="69" t="s">
        <v>51</v>
      </c>
      <c r="AY18" s="65" t="s">
        <v>881</v>
      </c>
      <c r="BK18" s="70">
        <f>SUM(BK19:BK30)</f>
        <v>0</v>
      </c>
    </row>
    <row r="19" spans="3:65" s="48" customFormat="1" ht="24.15" customHeight="1">
      <c r="C19" s="79" t="s">
        <v>51</v>
      </c>
      <c r="D19" s="79" t="s">
        <v>883</v>
      </c>
      <c r="E19" s="80" t="s">
        <v>884</v>
      </c>
      <c r="F19" s="81" t="s">
        <v>885</v>
      </c>
      <c r="G19" s="82" t="s">
        <v>54</v>
      </c>
      <c r="H19" s="83">
        <v>19</v>
      </c>
      <c r="I19" s="527"/>
      <c r="J19" s="84">
        <f aca="true" t="shared" si="0" ref="J19:J30">ROUND(I19*H19,2)</f>
        <v>0</v>
      </c>
      <c r="K19" s="521"/>
      <c r="L19" s="525" t="s">
        <v>2474</v>
      </c>
      <c r="M19" s="71" t="s">
        <v>854</v>
      </c>
      <c r="N19" s="72" t="s">
        <v>860</v>
      </c>
      <c r="O19" s="73">
        <v>0.344</v>
      </c>
      <c r="P19" s="73">
        <f aca="true" t="shared" si="1" ref="P19:P30">O19*H19</f>
        <v>6.536</v>
      </c>
      <c r="Q19" s="73">
        <v>0</v>
      </c>
      <c r="R19" s="73">
        <f aca="true" t="shared" si="2" ref="R19:R30">Q19*H19</f>
        <v>0</v>
      </c>
      <c r="S19" s="73">
        <v>0.295</v>
      </c>
      <c r="T19" s="74">
        <f aca="true" t="shared" si="3" ref="T19:T30">S19*H19</f>
        <v>5.6049999999999995</v>
      </c>
      <c r="AR19" s="75" t="s">
        <v>71</v>
      </c>
      <c r="AT19" s="75" t="s">
        <v>883</v>
      </c>
      <c r="AU19" s="75" t="s">
        <v>63</v>
      </c>
      <c r="AY19" s="47" t="s">
        <v>881</v>
      </c>
      <c r="BE19" s="76">
        <f aca="true" t="shared" si="4" ref="BE19:BE30">IF(N19="základní",J19,0)</f>
        <v>0</v>
      </c>
      <c r="BF19" s="76">
        <f aca="true" t="shared" si="5" ref="BF19:BF30">IF(N19="snížená",J19,0)</f>
        <v>0</v>
      </c>
      <c r="BG19" s="76">
        <f aca="true" t="shared" si="6" ref="BG19:BG30">IF(N19="zákl. přenesená",J19,0)</f>
        <v>0</v>
      </c>
      <c r="BH19" s="76">
        <f aca="true" t="shared" si="7" ref="BH19:BH30">IF(N19="sníž. přenesená",J19,0)</f>
        <v>0</v>
      </c>
      <c r="BI19" s="76">
        <f aca="true" t="shared" si="8" ref="BI19:BI30">IF(N19="nulová",J19,0)</f>
        <v>0</v>
      </c>
      <c r="BJ19" s="47" t="s">
        <v>51</v>
      </c>
      <c r="BK19" s="76">
        <f aca="true" t="shared" si="9" ref="BK19:BK30">ROUND(I19*H19,2)</f>
        <v>0</v>
      </c>
      <c r="BL19" s="47" t="s">
        <v>71</v>
      </c>
      <c r="BM19" s="75" t="s">
        <v>1898</v>
      </c>
    </row>
    <row r="20" spans="3:65" s="48" customFormat="1" ht="33" customHeight="1">
      <c r="C20" s="79" t="s">
        <v>63</v>
      </c>
      <c r="D20" s="79" t="s">
        <v>883</v>
      </c>
      <c r="E20" s="80" t="s">
        <v>887</v>
      </c>
      <c r="F20" s="81" t="s">
        <v>888</v>
      </c>
      <c r="G20" s="82" t="s">
        <v>54</v>
      </c>
      <c r="H20" s="83">
        <v>19</v>
      </c>
      <c r="I20" s="527"/>
      <c r="J20" s="84">
        <f t="shared" si="0"/>
        <v>0</v>
      </c>
      <c r="K20" s="521"/>
      <c r="L20" s="525" t="s">
        <v>2474</v>
      </c>
      <c r="M20" s="71" t="s">
        <v>854</v>
      </c>
      <c r="N20" s="72" t="s">
        <v>860</v>
      </c>
      <c r="O20" s="73">
        <v>0.16</v>
      </c>
      <c r="P20" s="73">
        <f t="shared" si="1"/>
        <v>3.04</v>
      </c>
      <c r="Q20" s="73">
        <v>0</v>
      </c>
      <c r="R20" s="73">
        <f t="shared" si="2"/>
        <v>0</v>
      </c>
      <c r="S20" s="73">
        <v>0.5</v>
      </c>
      <c r="T20" s="74">
        <f t="shared" si="3"/>
        <v>9.5</v>
      </c>
      <c r="AR20" s="75" t="s">
        <v>71</v>
      </c>
      <c r="AT20" s="75" t="s">
        <v>883</v>
      </c>
      <c r="AU20" s="75" t="s">
        <v>63</v>
      </c>
      <c r="AY20" s="47" t="s">
        <v>881</v>
      </c>
      <c r="BE20" s="76">
        <f t="shared" si="4"/>
        <v>0</v>
      </c>
      <c r="BF20" s="76">
        <f t="shared" si="5"/>
        <v>0</v>
      </c>
      <c r="BG20" s="76">
        <f t="shared" si="6"/>
        <v>0</v>
      </c>
      <c r="BH20" s="76">
        <f t="shared" si="7"/>
        <v>0</v>
      </c>
      <c r="BI20" s="76">
        <f t="shared" si="8"/>
        <v>0</v>
      </c>
      <c r="BJ20" s="47" t="s">
        <v>51</v>
      </c>
      <c r="BK20" s="76">
        <f t="shared" si="9"/>
        <v>0</v>
      </c>
      <c r="BL20" s="47" t="s">
        <v>71</v>
      </c>
      <c r="BM20" s="75" t="s">
        <v>1899</v>
      </c>
    </row>
    <row r="21" spans="3:65" s="48" customFormat="1" ht="33" customHeight="1">
      <c r="C21" s="79" t="s">
        <v>67</v>
      </c>
      <c r="D21" s="79" t="s">
        <v>883</v>
      </c>
      <c r="E21" s="80" t="s">
        <v>890</v>
      </c>
      <c r="F21" s="81" t="s">
        <v>891</v>
      </c>
      <c r="G21" s="82" t="s">
        <v>54</v>
      </c>
      <c r="H21" s="83">
        <v>19</v>
      </c>
      <c r="I21" s="527"/>
      <c r="J21" s="84">
        <f t="shared" si="0"/>
        <v>0</v>
      </c>
      <c r="K21" s="521"/>
      <c r="L21" s="525" t="s">
        <v>2474</v>
      </c>
      <c r="M21" s="71" t="s">
        <v>854</v>
      </c>
      <c r="N21" s="72" t="s">
        <v>860</v>
      </c>
      <c r="O21" s="73">
        <v>0.155</v>
      </c>
      <c r="P21" s="73">
        <f t="shared" si="1"/>
        <v>2.945</v>
      </c>
      <c r="Q21" s="73">
        <v>0</v>
      </c>
      <c r="R21" s="73">
        <f t="shared" si="2"/>
        <v>0</v>
      </c>
      <c r="S21" s="73">
        <v>0.29</v>
      </c>
      <c r="T21" s="74">
        <f t="shared" si="3"/>
        <v>5.51</v>
      </c>
      <c r="AR21" s="75" t="s">
        <v>71</v>
      </c>
      <c r="AT21" s="75" t="s">
        <v>883</v>
      </c>
      <c r="AU21" s="75" t="s">
        <v>63</v>
      </c>
      <c r="AY21" s="47" t="s">
        <v>881</v>
      </c>
      <c r="BE21" s="76">
        <f t="shared" si="4"/>
        <v>0</v>
      </c>
      <c r="BF21" s="76">
        <f t="shared" si="5"/>
        <v>0</v>
      </c>
      <c r="BG21" s="76">
        <f t="shared" si="6"/>
        <v>0</v>
      </c>
      <c r="BH21" s="76">
        <f t="shared" si="7"/>
        <v>0</v>
      </c>
      <c r="BI21" s="76">
        <f t="shared" si="8"/>
        <v>0</v>
      </c>
      <c r="BJ21" s="47" t="s">
        <v>51</v>
      </c>
      <c r="BK21" s="76">
        <f t="shared" si="9"/>
        <v>0</v>
      </c>
      <c r="BL21" s="47" t="s">
        <v>71</v>
      </c>
      <c r="BM21" s="75" t="s">
        <v>1900</v>
      </c>
    </row>
    <row r="22" spans="3:65" s="48" customFormat="1" ht="16.5" customHeight="1">
      <c r="C22" s="79" t="s">
        <v>71</v>
      </c>
      <c r="D22" s="79" t="s">
        <v>883</v>
      </c>
      <c r="E22" s="80" t="s">
        <v>1812</v>
      </c>
      <c r="F22" s="81" t="s">
        <v>1813</v>
      </c>
      <c r="G22" s="82" t="s">
        <v>74</v>
      </c>
      <c r="H22" s="83">
        <v>2</v>
      </c>
      <c r="I22" s="527"/>
      <c r="J22" s="84">
        <f t="shared" si="0"/>
        <v>0</v>
      </c>
      <c r="K22" s="521"/>
      <c r="L22" s="525" t="s">
        <v>2474</v>
      </c>
      <c r="M22" s="71" t="s">
        <v>854</v>
      </c>
      <c r="N22" s="72" t="s">
        <v>860</v>
      </c>
      <c r="O22" s="73">
        <v>0.133</v>
      </c>
      <c r="P22" s="73">
        <f t="shared" si="1"/>
        <v>0.266</v>
      </c>
      <c r="Q22" s="73">
        <v>0</v>
      </c>
      <c r="R22" s="73">
        <f t="shared" si="2"/>
        <v>0</v>
      </c>
      <c r="S22" s="73">
        <v>0.205</v>
      </c>
      <c r="T22" s="74">
        <f t="shared" si="3"/>
        <v>0.41</v>
      </c>
      <c r="AR22" s="75" t="s">
        <v>71</v>
      </c>
      <c r="AT22" s="75" t="s">
        <v>883</v>
      </c>
      <c r="AU22" s="75" t="s">
        <v>63</v>
      </c>
      <c r="AY22" s="47" t="s">
        <v>881</v>
      </c>
      <c r="BE22" s="76">
        <f t="shared" si="4"/>
        <v>0</v>
      </c>
      <c r="BF22" s="76">
        <f t="shared" si="5"/>
        <v>0</v>
      </c>
      <c r="BG22" s="76">
        <f t="shared" si="6"/>
        <v>0</v>
      </c>
      <c r="BH22" s="76">
        <f t="shared" si="7"/>
        <v>0</v>
      </c>
      <c r="BI22" s="76">
        <f t="shared" si="8"/>
        <v>0</v>
      </c>
      <c r="BJ22" s="47" t="s">
        <v>51</v>
      </c>
      <c r="BK22" s="76">
        <f t="shared" si="9"/>
        <v>0</v>
      </c>
      <c r="BL22" s="47" t="s">
        <v>71</v>
      </c>
      <c r="BM22" s="75" t="s">
        <v>1901</v>
      </c>
    </row>
    <row r="23" spans="3:65" s="48" customFormat="1" ht="33" customHeight="1">
      <c r="C23" s="79" t="s">
        <v>78</v>
      </c>
      <c r="D23" s="79" t="s">
        <v>883</v>
      </c>
      <c r="E23" s="80" t="s">
        <v>1299</v>
      </c>
      <c r="F23" s="81" t="s">
        <v>1300</v>
      </c>
      <c r="G23" s="82" t="s">
        <v>81</v>
      </c>
      <c r="H23" s="83">
        <v>497.2</v>
      </c>
      <c r="I23" s="527"/>
      <c r="J23" s="84">
        <f t="shared" si="0"/>
        <v>0</v>
      </c>
      <c r="K23" s="521"/>
      <c r="L23" s="525" t="s">
        <v>2474</v>
      </c>
      <c r="M23" s="71" t="s">
        <v>854</v>
      </c>
      <c r="N23" s="72" t="s">
        <v>860</v>
      </c>
      <c r="O23" s="73">
        <v>0.496</v>
      </c>
      <c r="P23" s="73">
        <f t="shared" si="1"/>
        <v>246.6112</v>
      </c>
      <c r="Q23" s="73">
        <v>0</v>
      </c>
      <c r="R23" s="73">
        <f t="shared" si="2"/>
        <v>0</v>
      </c>
      <c r="S23" s="73">
        <v>0</v>
      </c>
      <c r="T23" s="74">
        <f t="shared" si="3"/>
        <v>0</v>
      </c>
      <c r="AR23" s="75" t="s">
        <v>71</v>
      </c>
      <c r="AT23" s="75" t="s">
        <v>883</v>
      </c>
      <c r="AU23" s="75" t="s">
        <v>63</v>
      </c>
      <c r="AY23" s="47" t="s">
        <v>881</v>
      </c>
      <c r="BE23" s="76">
        <f t="shared" si="4"/>
        <v>0</v>
      </c>
      <c r="BF23" s="76">
        <f t="shared" si="5"/>
        <v>0</v>
      </c>
      <c r="BG23" s="76">
        <f t="shared" si="6"/>
        <v>0</v>
      </c>
      <c r="BH23" s="76">
        <f t="shared" si="7"/>
        <v>0</v>
      </c>
      <c r="BI23" s="76">
        <f t="shared" si="8"/>
        <v>0</v>
      </c>
      <c r="BJ23" s="47" t="s">
        <v>51</v>
      </c>
      <c r="BK23" s="76">
        <f t="shared" si="9"/>
        <v>0</v>
      </c>
      <c r="BL23" s="47" t="s">
        <v>71</v>
      </c>
      <c r="BM23" s="75" t="s">
        <v>1902</v>
      </c>
    </row>
    <row r="24" spans="3:65" s="48" customFormat="1" ht="37.95" customHeight="1">
      <c r="C24" s="79" t="s">
        <v>85</v>
      </c>
      <c r="D24" s="79" t="s">
        <v>883</v>
      </c>
      <c r="E24" s="80" t="s">
        <v>905</v>
      </c>
      <c r="F24" s="81" t="s">
        <v>906</v>
      </c>
      <c r="G24" s="82" t="s">
        <v>81</v>
      </c>
      <c r="H24" s="83">
        <v>180</v>
      </c>
      <c r="I24" s="527"/>
      <c r="J24" s="84">
        <f t="shared" si="0"/>
        <v>0</v>
      </c>
      <c r="K24" s="521"/>
      <c r="L24" s="525" t="s">
        <v>2474</v>
      </c>
      <c r="M24" s="71" t="s">
        <v>854</v>
      </c>
      <c r="N24" s="72" t="s">
        <v>860</v>
      </c>
      <c r="O24" s="73">
        <v>0.063</v>
      </c>
      <c r="P24" s="73">
        <f t="shared" si="1"/>
        <v>11.34</v>
      </c>
      <c r="Q24" s="73">
        <v>0</v>
      </c>
      <c r="R24" s="73">
        <f t="shared" si="2"/>
        <v>0</v>
      </c>
      <c r="S24" s="73">
        <v>0</v>
      </c>
      <c r="T24" s="74">
        <f t="shared" si="3"/>
        <v>0</v>
      </c>
      <c r="AR24" s="75" t="s">
        <v>71</v>
      </c>
      <c r="AT24" s="75" t="s">
        <v>883</v>
      </c>
      <c r="AU24" s="75" t="s">
        <v>63</v>
      </c>
      <c r="AY24" s="47" t="s">
        <v>881</v>
      </c>
      <c r="BE24" s="76">
        <f t="shared" si="4"/>
        <v>0</v>
      </c>
      <c r="BF24" s="76">
        <f t="shared" si="5"/>
        <v>0</v>
      </c>
      <c r="BG24" s="76">
        <f t="shared" si="6"/>
        <v>0</v>
      </c>
      <c r="BH24" s="76">
        <f t="shared" si="7"/>
        <v>0</v>
      </c>
      <c r="BI24" s="76">
        <f t="shared" si="8"/>
        <v>0</v>
      </c>
      <c r="BJ24" s="47" t="s">
        <v>51</v>
      </c>
      <c r="BK24" s="76">
        <f t="shared" si="9"/>
        <v>0</v>
      </c>
      <c r="BL24" s="47" t="s">
        <v>71</v>
      </c>
      <c r="BM24" s="75" t="s">
        <v>1903</v>
      </c>
    </row>
    <row r="25" spans="3:65" s="48" customFormat="1" ht="37.95" customHeight="1">
      <c r="C25" s="79" t="s">
        <v>89</v>
      </c>
      <c r="D25" s="79" t="s">
        <v>883</v>
      </c>
      <c r="E25" s="80" t="s">
        <v>908</v>
      </c>
      <c r="F25" s="81" t="s">
        <v>909</v>
      </c>
      <c r="G25" s="82" t="s">
        <v>81</v>
      </c>
      <c r="H25" s="83">
        <v>180</v>
      </c>
      <c r="I25" s="527"/>
      <c r="J25" s="84">
        <f t="shared" si="0"/>
        <v>0</v>
      </c>
      <c r="K25" s="521"/>
      <c r="L25" s="525" t="s">
        <v>2474</v>
      </c>
      <c r="M25" s="71" t="s">
        <v>854</v>
      </c>
      <c r="N25" s="72" t="s">
        <v>860</v>
      </c>
      <c r="O25" s="73">
        <v>0.005</v>
      </c>
      <c r="P25" s="73">
        <f t="shared" si="1"/>
        <v>0.9</v>
      </c>
      <c r="Q25" s="73">
        <v>0</v>
      </c>
      <c r="R25" s="73">
        <f t="shared" si="2"/>
        <v>0</v>
      </c>
      <c r="S25" s="73">
        <v>0</v>
      </c>
      <c r="T25" s="74">
        <f t="shared" si="3"/>
        <v>0</v>
      </c>
      <c r="AR25" s="75" t="s">
        <v>71</v>
      </c>
      <c r="AT25" s="75" t="s">
        <v>883</v>
      </c>
      <c r="AU25" s="75" t="s">
        <v>63</v>
      </c>
      <c r="AY25" s="47" t="s">
        <v>881</v>
      </c>
      <c r="BE25" s="76">
        <f t="shared" si="4"/>
        <v>0</v>
      </c>
      <c r="BF25" s="76">
        <f t="shared" si="5"/>
        <v>0</v>
      </c>
      <c r="BG25" s="76">
        <f t="shared" si="6"/>
        <v>0</v>
      </c>
      <c r="BH25" s="76">
        <f t="shared" si="7"/>
        <v>0</v>
      </c>
      <c r="BI25" s="76">
        <f t="shared" si="8"/>
        <v>0</v>
      </c>
      <c r="BJ25" s="47" t="s">
        <v>51</v>
      </c>
      <c r="BK25" s="76">
        <f t="shared" si="9"/>
        <v>0</v>
      </c>
      <c r="BL25" s="47" t="s">
        <v>71</v>
      </c>
      <c r="BM25" s="75" t="s">
        <v>1904</v>
      </c>
    </row>
    <row r="26" spans="3:65" s="48" customFormat="1" ht="24.15" customHeight="1">
      <c r="C26" s="79" t="s">
        <v>94</v>
      </c>
      <c r="D26" s="79" t="s">
        <v>883</v>
      </c>
      <c r="E26" s="80" t="s">
        <v>911</v>
      </c>
      <c r="F26" s="81" t="s">
        <v>912</v>
      </c>
      <c r="G26" s="82" t="s">
        <v>81</v>
      </c>
      <c r="H26" s="83">
        <v>180</v>
      </c>
      <c r="I26" s="527"/>
      <c r="J26" s="84">
        <f t="shared" si="0"/>
        <v>0</v>
      </c>
      <c r="K26" s="521"/>
      <c r="L26" s="525" t="s">
        <v>2474</v>
      </c>
      <c r="M26" s="71" t="s">
        <v>854</v>
      </c>
      <c r="N26" s="72" t="s">
        <v>860</v>
      </c>
      <c r="O26" s="73">
        <v>1.137</v>
      </c>
      <c r="P26" s="73">
        <f t="shared" si="1"/>
        <v>204.66</v>
      </c>
      <c r="Q26" s="73">
        <v>0</v>
      </c>
      <c r="R26" s="73">
        <f t="shared" si="2"/>
        <v>0</v>
      </c>
      <c r="S26" s="73">
        <v>0</v>
      </c>
      <c r="T26" s="74">
        <f t="shared" si="3"/>
        <v>0</v>
      </c>
      <c r="AR26" s="75" t="s">
        <v>71</v>
      </c>
      <c r="AT26" s="75" t="s">
        <v>883</v>
      </c>
      <c r="AU26" s="75" t="s">
        <v>63</v>
      </c>
      <c r="AY26" s="47" t="s">
        <v>881</v>
      </c>
      <c r="BE26" s="76">
        <f t="shared" si="4"/>
        <v>0</v>
      </c>
      <c r="BF26" s="76">
        <f t="shared" si="5"/>
        <v>0</v>
      </c>
      <c r="BG26" s="76">
        <f t="shared" si="6"/>
        <v>0</v>
      </c>
      <c r="BH26" s="76">
        <f t="shared" si="7"/>
        <v>0</v>
      </c>
      <c r="BI26" s="76">
        <f t="shared" si="8"/>
        <v>0</v>
      </c>
      <c r="BJ26" s="47" t="s">
        <v>51</v>
      </c>
      <c r="BK26" s="76">
        <f t="shared" si="9"/>
        <v>0</v>
      </c>
      <c r="BL26" s="47" t="s">
        <v>71</v>
      </c>
      <c r="BM26" s="75" t="s">
        <v>1905</v>
      </c>
    </row>
    <row r="27" spans="3:65" s="48" customFormat="1" ht="24.15" customHeight="1">
      <c r="C27" s="79" t="s">
        <v>98</v>
      </c>
      <c r="D27" s="79" t="s">
        <v>883</v>
      </c>
      <c r="E27" s="80" t="s">
        <v>914</v>
      </c>
      <c r="F27" s="81" t="s">
        <v>915</v>
      </c>
      <c r="G27" s="82" t="s">
        <v>125</v>
      </c>
      <c r="H27" s="83">
        <v>324</v>
      </c>
      <c r="I27" s="527"/>
      <c r="J27" s="84">
        <f t="shared" si="0"/>
        <v>0</v>
      </c>
      <c r="K27" s="521"/>
      <c r="L27" s="525" t="s">
        <v>2474</v>
      </c>
      <c r="M27" s="71" t="s">
        <v>854</v>
      </c>
      <c r="N27" s="72" t="s">
        <v>860</v>
      </c>
      <c r="O27" s="73">
        <v>0</v>
      </c>
      <c r="P27" s="73">
        <f t="shared" si="1"/>
        <v>0</v>
      </c>
      <c r="Q27" s="73">
        <v>0</v>
      </c>
      <c r="R27" s="73">
        <f t="shared" si="2"/>
        <v>0</v>
      </c>
      <c r="S27" s="73">
        <v>0</v>
      </c>
      <c r="T27" s="74">
        <f t="shared" si="3"/>
        <v>0</v>
      </c>
      <c r="AR27" s="75" t="s">
        <v>71</v>
      </c>
      <c r="AT27" s="75" t="s">
        <v>883</v>
      </c>
      <c r="AU27" s="75" t="s">
        <v>63</v>
      </c>
      <c r="AY27" s="47" t="s">
        <v>881</v>
      </c>
      <c r="BE27" s="76">
        <f t="shared" si="4"/>
        <v>0</v>
      </c>
      <c r="BF27" s="76">
        <f t="shared" si="5"/>
        <v>0</v>
      </c>
      <c r="BG27" s="76">
        <f t="shared" si="6"/>
        <v>0</v>
      </c>
      <c r="BH27" s="76">
        <f t="shared" si="7"/>
        <v>0</v>
      </c>
      <c r="BI27" s="76">
        <f t="shared" si="8"/>
        <v>0</v>
      </c>
      <c r="BJ27" s="47" t="s">
        <v>51</v>
      </c>
      <c r="BK27" s="76">
        <f t="shared" si="9"/>
        <v>0</v>
      </c>
      <c r="BL27" s="47" t="s">
        <v>71</v>
      </c>
      <c r="BM27" s="75" t="s">
        <v>1906</v>
      </c>
    </row>
    <row r="28" spans="3:65" s="48" customFormat="1" ht="24.15" customHeight="1">
      <c r="C28" s="79" t="s">
        <v>104</v>
      </c>
      <c r="D28" s="79" t="s">
        <v>883</v>
      </c>
      <c r="E28" s="80" t="s">
        <v>917</v>
      </c>
      <c r="F28" s="81" t="s">
        <v>918</v>
      </c>
      <c r="G28" s="82" t="s">
        <v>81</v>
      </c>
      <c r="H28" s="83">
        <v>355.2</v>
      </c>
      <c r="I28" s="527"/>
      <c r="J28" s="84">
        <f t="shared" si="0"/>
        <v>0</v>
      </c>
      <c r="K28" s="521"/>
      <c r="L28" s="525" t="s">
        <v>2474</v>
      </c>
      <c r="M28" s="71" t="s">
        <v>854</v>
      </c>
      <c r="N28" s="72" t="s">
        <v>860</v>
      </c>
      <c r="O28" s="73">
        <v>0.328</v>
      </c>
      <c r="P28" s="73">
        <f t="shared" si="1"/>
        <v>116.5056</v>
      </c>
      <c r="Q28" s="73">
        <v>0</v>
      </c>
      <c r="R28" s="73">
        <f t="shared" si="2"/>
        <v>0</v>
      </c>
      <c r="S28" s="73">
        <v>0</v>
      </c>
      <c r="T28" s="74">
        <f t="shared" si="3"/>
        <v>0</v>
      </c>
      <c r="AR28" s="75" t="s">
        <v>71</v>
      </c>
      <c r="AT28" s="75" t="s">
        <v>883</v>
      </c>
      <c r="AU28" s="75" t="s">
        <v>63</v>
      </c>
      <c r="AY28" s="47" t="s">
        <v>881</v>
      </c>
      <c r="BE28" s="76">
        <f t="shared" si="4"/>
        <v>0</v>
      </c>
      <c r="BF28" s="76">
        <f t="shared" si="5"/>
        <v>0</v>
      </c>
      <c r="BG28" s="76">
        <f t="shared" si="6"/>
        <v>0</v>
      </c>
      <c r="BH28" s="76">
        <f t="shared" si="7"/>
        <v>0</v>
      </c>
      <c r="BI28" s="76">
        <f t="shared" si="8"/>
        <v>0</v>
      </c>
      <c r="BJ28" s="47" t="s">
        <v>51</v>
      </c>
      <c r="BK28" s="76">
        <f t="shared" si="9"/>
        <v>0</v>
      </c>
      <c r="BL28" s="47" t="s">
        <v>71</v>
      </c>
      <c r="BM28" s="75" t="s">
        <v>1907</v>
      </c>
    </row>
    <row r="29" spans="3:65" s="48" customFormat="1" ht="24.15" customHeight="1">
      <c r="C29" s="79" t="s">
        <v>49</v>
      </c>
      <c r="D29" s="79" t="s">
        <v>883</v>
      </c>
      <c r="E29" s="80" t="s">
        <v>920</v>
      </c>
      <c r="F29" s="81" t="s">
        <v>921</v>
      </c>
      <c r="G29" s="82" t="s">
        <v>81</v>
      </c>
      <c r="H29" s="83">
        <v>106.5</v>
      </c>
      <c r="I29" s="527"/>
      <c r="J29" s="84">
        <f t="shared" si="0"/>
        <v>0</v>
      </c>
      <c r="K29" s="521"/>
      <c r="L29" s="525" t="s">
        <v>2474</v>
      </c>
      <c r="M29" s="71" t="s">
        <v>854</v>
      </c>
      <c r="N29" s="72" t="s">
        <v>860</v>
      </c>
      <c r="O29" s="73">
        <v>1.789</v>
      </c>
      <c r="P29" s="73">
        <f t="shared" si="1"/>
        <v>190.52849999999998</v>
      </c>
      <c r="Q29" s="73">
        <v>0</v>
      </c>
      <c r="R29" s="73">
        <f t="shared" si="2"/>
        <v>0</v>
      </c>
      <c r="S29" s="73">
        <v>0</v>
      </c>
      <c r="T29" s="74">
        <f t="shared" si="3"/>
        <v>0</v>
      </c>
      <c r="AR29" s="75" t="s">
        <v>71</v>
      </c>
      <c r="AT29" s="75" t="s">
        <v>883</v>
      </c>
      <c r="AU29" s="75" t="s">
        <v>63</v>
      </c>
      <c r="AY29" s="47" t="s">
        <v>881</v>
      </c>
      <c r="BE29" s="76">
        <f t="shared" si="4"/>
        <v>0</v>
      </c>
      <c r="BF29" s="76">
        <f t="shared" si="5"/>
        <v>0</v>
      </c>
      <c r="BG29" s="76">
        <f t="shared" si="6"/>
        <v>0</v>
      </c>
      <c r="BH29" s="76">
        <f t="shared" si="7"/>
        <v>0</v>
      </c>
      <c r="BI29" s="76">
        <f t="shared" si="8"/>
        <v>0</v>
      </c>
      <c r="BJ29" s="47" t="s">
        <v>51</v>
      </c>
      <c r="BK29" s="76">
        <f t="shared" si="9"/>
        <v>0</v>
      </c>
      <c r="BL29" s="47" t="s">
        <v>71</v>
      </c>
      <c r="BM29" s="75" t="s">
        <v>1908</v>
      </c>
    </row>
    <row r="30" spans="3:65" s="48" customFormat="1" ht="16.5" customHeight="1">
      <c r="C30" s="85" t="s">
        <v>76</v>
      </c>
      <c r="D30" s="85" t="s">
        <v>201</v>
      </c>
      <c r="E30" s="86" t="s">
        <v>923</v>
      </c>
      <c r="F30" s="87" t="s">
        <v>924</v>
      </c>
      <c r="G30" s="88" t="s">
        <v>125</v>
      </c>
      <c r="H30" s="89">
        <v>95.85</v>
      </c>
      <c r="I30" s="528"/>
      <c r="J30" s="90">
        <f t="shared" si="0"/>
        <v>0</v>
      </c>
      <c r="K30" s="522"/>
      <c r="L30" s="525" t="s">
        <v>2474</v>
      </c>
      <c r="M30" s="77" t="s">
        <v>854</v>
      </c>
      <c r="N30" s="78" t="s">
        <v>860</v>
      </c>
      <c r="O30" s="73">
        <v>0</v>
      </c>
      <c r="P30" s="73">
        <f t="shared" si="1"/>
        <v>0</v>
      </c>
      <c r="Q30" s="73">
        <v>1</v>
      </c>
      <c r="R30" s="73">
        <f t="shared" si="2"/>
        <v>95.85</v>
      </c>
      <c r="S30" s="73">
        <v>0</v>
      </c>
      <c r="T30" s="74">
        <f t="shared" si="3"/>
        <v>0</v>
      </c>
      <c r="AR30" s="75" t="s">
        <v>94</v>
      </c>
      <c r="AT30" s="75" t="s">
        <v>201</v>
      </c>
      <c r="AU30" s="75" t="s">
        <v>63</v>
      </c>
      <c r="AY30" s="47" t="s">
        <v>881</v>
      </c>
      <c r="BE30" s="76">
        <f t="shared" si="4"/>
        <v>0</v>
      </c>
      <c r="BF30" s="76">
        <f t="shared" si="5"/>
        <v>0</v>
      </c>
      <c r="BG30" s="76">
        <f t="shared" si="6"/>
        <v>0</v>
      </c>
      <c r="BH30" s="76">
        <f t="shared" si="7"/>
        <v>0</v>
      </c>
      <c r="BI30" s="76">
        <f t="shared" si="8"/>
        <v>0</v>
      </c>
      <c r="BJ30" s="47" t="s">
        <v>51</v>
      </c>
      <c r="BK30" s="76">
        <f t="shared" si="9"/>
        <v>0</v>
      </c>
      <c r="BL30" s="47" t="s">
        <v>71</v>
      </c>
      <c r="BM30" s="75" t="s">
        <v>1909</v>
      </c>
    </row>
    <row r="31" spans="4:63" s="64" customFormat="1" ht="22.95" customHeight="1">
      <c r="D31" s="65" t="s">
        <v>877</v>
      </c>
      <c r="E31" s="205" t="s">
        <v>71</v>
      </c>
      <c r="F31" s="205" t="s">
        <v>926</v>
      </c>
      <c r="J31" s="206">
        <f>BK31</f>
        <v>0</v>
      </c>
      <c r="L31" s="69"/>
      <c r="M31" s="66"/>
      <c r="P31" s="67">
        <f>P32</f>
        <v>60.1725</v>
      </c>
      <c r="R31" s="67">
        <f>R32</f>
        <v>0</v>
      </c>
      <c r="T31" s="68">
        <f>T32</f>
        <v>0</v>
      </c>
      <c r="AR31" s="65" t="s">
        <v>51</v>
      </c>
      <c r="AT31" s="69" t="s">
        <v>877</v>
      </c>
      <c r="AU31" s="69" t="s">
        <v>51</v>
      </c>
      <c r="AY31" s="65" t="s">
        <v>881</v>
      </c>
      <c r="BK31" s="70">
        <f>BK32</f>
        <v>0</v>
      </c>
    </row>
    <row r="32" spans="3:65" s="48" customFormat="1" ht="24.15" customHeight="1">
      <c r="C32" s="79" t="s">
        <v>75</v>
      </c>
      <c r="D32" s="79" t="s">
        <v>883</v>
      </c>
      <c r="E32" s="80" t="s">
        <v>927</v>
      </c>
      <c r="F32" s="81" t="s">
        <v>928</v>
      </c>
      <c r="G32" s="82" t="s">
        <v>81</v>
      </c>
      <c r="H32" s="83">
        <v>35.5</v>
      </c>
      <c r="I32" s="527"/>
      <c r="J32" s="84">
        <f>ROUND(I32*H32,2)</f>
        <v>0</v>
      </c>
      <c r="K32" s="521"/>
      <c r="L32" s="525" t="s">
        <v>2474</v>
      </c>
      <c r="M32" s="71" t="s">
        <v>854</v>
      </c>
      <c r="N32" s="72" t="s">
        <v>860</v>
      </c>
      <c r="O32" s="73">
        <v>1.695</v>
      </c>
      <c r="P32" s="73">
        <f>O32*H32</f>
        <v>60.1725</v>
      </c>
      <c r="Q32" s="73">
        <v>0</v>
      </c>
      <c r="R32" s="73">
        <f>Q32*H32</f>
        <v>0</v>
      </c>
      <c r="S32" s="73">
        <v>0</v>
      </c>
      <c r="T32" s="74">
        <f>S32*H32</f>
        <v>0</v>
      </c>
      <c r="AR32" s="75" t="s">
        <v>71</v>
      </c>
      <c r="AT32" s="75" t="s">
        <v>883</v>
      </c>
      <c r="AU32" s="75" t="s">
        <v>63</v>
      </c>
      <c r="AY32" s="47" t="s">
        <v>881</v>
      </c>
      <c r="BE32" s="76">
        <f>IF(N32="základní",J32,0)</f>
        <v>0</v>
      </c>
      <c r="BF32" s="76">
        <f>IF(N32="snížená",J32,0)</f>
        <v>0</v>
      </c>
      <c r="BG32" s="76">
        <f>IF(N32="zákl. přenesená",J32,0)</f>
        <v>0</v>
      </c>
      <c r="BH32" s="76">
        <f>IF(N32="sníž. přenesená",J32,0)</f>
        <v>0</v>
      </c>
      <c r="BI32" s="76">
        <f>IF(N32="nulová",J32,0)</f>
        <v>0</v>
      </c>
      <c r="BJ32" s="47" t="s">
        <v>51</v>
      </c>
      <c r="BK32" s="76">
        <f>ROUND(I32*H32,2)</f>
        <v>0</v>
      </c>
      <c r="BL32" s="47" t="s">
        <v>71</v>
      </c>
      <c r="BM32" s="75" t="s">
        <v>1910</v>
      </c>
    </row>
    <row r="33" spans="4:63" s="64" customFormat="1" ht="22.95" customHeight="1">
      <c r="D33" s="65" t="s">
        <v>877</v>
      </c>
      <c r="E33" s="205" t="s">
        <v>78</v>
      </c>
      <c r="F33" s="205" t="s">
        <v>933</v>
      </c>
      <c r="J33" s="206">
        <f>BK33</f>
        <v>0</v>
      </c>
      <c r="L33" s="69"/>
      <c r="M33" s="66"/>
      <c r="P33" s="67">
        <f>SUM(P34:P37)</f>
        <v>63.935</v>
      </c>
      <c r="R33" s="67">
        <f>SUM(R34:R37)</f>
        <v>36.363910000000004</v>
      </c>
      <c r="T33" s="68">
        <f>SUM(T34:T37)</f>
        <v>0</v>
      </c>
      <c r="AR33" s="65" t="s">
        <v>51</v>
      </c>
      <c r="AT33" s="69" t="s">
        <v>877</v>
      </c>
      <c r="AU33" s="69" t="s">
        <v>51</v>
      </c>
      <c r="AY33" s="65" t="s">
        <v>881</v>
      </c>
      <c r="BK33" s="70">
        <f>SUM(BK34:BK37)</f>
        <v>0</v>
      </c>
    </row>
    <row r="34" spans="3:65" s="48" customFormat="1" ht="24.15" customHeight="1">
      <c r="C34" s="79" t="s">
        <v>128</v>
      </c>
      <c r="D34" s="79" t="s">
        <v>883</v>
      </c>
      <c r="E34" s="80" t="s">
        <v>934</v>
      </c>
      <c r="F34" s="81" t="s">
        <v>935</v>
      </c>
      <c r="G34" s="82" t="s">
        <v>54</v>
      </c>
      <c r="H34" s="83">
        <v>19</v>
      </c>
      <c r="I34" s="527"/>
      <c r="J34" s="84">
        <f>ROUND(I34*H34,2)</f>
        <v>0</v>
      </c>
      <c r="K34" s="521"/>
      <c r="L34" s="525" t="s">
        <v>2474</v>
      </c>
      <c r="M34" s="71" t="s">
        <v>854</v>
      </c>
      <c r="N34" s="72" t="s">
        <v>860</v>
      </c>
      <c r="O34" s="73">
        <v>0.117</v>
      </c>
      <c r="P34" s="73">
        <f>O34*H34</f>
        <v>2.2230000000000003</v>
      </c>
      <c r="Q34" s="73">
        <v>0.23</v>
      </c>
      <c r="R34" s="73">
        <f>Q34*H34</f>
        <v>4.37</v>
      </c>
      <c r="S34" s="73">
        <v>0</v>
      </c>
      <c r="T34" s="74">
        <f>S34*H34</f>
        <v>0</v>
      </c>
      <c r="AR34" s="75" t="s">
        <v>71</v>
      </c>
      <c r="AT34" s="75" t="s">
        <v>883</v>
      </c>
      <c r="AU34" s="75" t="s">
        <v>63</v>
      </c>
      <c r="AY34" s="47" t="s">
        <v>881</v>
      </c>
      <c r="BE34" s="76">
        <f>IF(N34="základní",J34,0)</f>
        <v>0</v>
      </c>
      <c r="BF34" s="76">
        <f>IF(N34="snížená",J34,0)</f>
        <v>0</v>
      </c>
      <c r="BG34" s="76">
        <f>IF(N34="zákl. přenesená",J34,0)</f>
        <v>0</v>
      </c>
      <c r="BH34" s="76">
        <f>IF(N34="sníž. přenesená",J34,0)</f>
        <v>0</v>
      </c>
      <c r="BI34" s="76">
        <f>IF(N34="nulová",J34,0)</f>
        <v>0</v>
      </c>
      <c r="BJ34" s="47" t="s">
        <v>51</v>
      </c>
      <c r="BK34" s="76">
        <f>ROUND(I34*H34,2)</f>
        <v>0</v>
      </c>
      <c r="BL34" s="47" t="s">
        <v>71</v>
      </c>
      <c r="BM34" s="75" t="s">
        <v>1911</v>
      </c>
    </row>
    <row r="35" spans="3:65" s="48" customFormat="1" ht="24.15" customHeight="1">
      <c r="C35" s="79" t="s">
        <v>66</v>
      </c>
      <c r="D35" s="79" t="s">
        <v>883</v>
      </c>
      <c r="E35" s="80" t="s">
        <v>937</v>
      </c>
      <c r="F35" s="81" t="s">
        <v>938</v>
      </c>
      <c r="G35" s="82" t="s">
        <v>54</v>
      </c>
      <c r="H35" s="83">
        <v>19</v>
      </c>
      <c r="I35" s="527"/>
      <c r="J35" s="84">
        <f>ROUND(I35*H35,2)</f>
        <v>0</v>
      </c>
      <c r="K35" s="521"/>
      <c r="L35" s="525" t="s">
        <v>2474</v>
      </c>
      <c r="M35" s="71" t="s">
        <v>854</v>
      </c>
      <c r="N35" s="72" t="s">
        <v>860</v>
      </c>
      <c r="O35" s="73">
        <v>0.107</v>
      </c>
      <c r="P35" s="73">
        <f>O35*H35</f>
        <v>2.033</v>
      </c>
      <c r="Q35" s="73">
        <v>0.575</v>
      </c>
      <c r="R35" s="73">
        <f>Q35*H35</f>
        <v>10.924999999999999</v>
      </c>
      <c r="S35" s="73">
        <v>0</v>
      </c>
      <c r="T35" s="74">
        <f>S35*H35</f>
        <v>0</v>
      </c>
      <c r="AR35" s="75" t="s">
        <v>71</v>
      </c>
      <c r="AT35" s="75" t="s">
        <v>883</v>
      </c>
      <c r="AU35" s="75" t="s">
        <v>63</v>
      </c>
      <c r="AY35" s="47" t="s">
        <v>881</v>
      </c>
      <c r="BE35" s="76">
        <f>IF(N35="základní",J35,0)</f>
        <v>0</v>
      </c>
      <c r="BF35" s="76">
        <f>IF(N35="snížená",J35,0)</f>
        <v>0</v>
      </c>
      <c r="BG35" s="76">
        <f>IF(N35="zákl. přenesená",J35,0)</f>
        <v>0</v>
      </c>
      <c r="BH35" s="76">
        <f>IF(N35="sníž. přenesená",J35,0)</f>
        <v>0</v>
      </c>
      <c r="BI35" s="76">
        <f>IF(N35="nulová",J35,0)</f>
        <v>0</v>
      </c>
      <c r="BJ35" s="47" t="s">
        <v>51</v>
      </c>
      <c r="BK35" s="76">
        <f>ROUND(I35*H35,2)</f>
        <v>0</v>
      </c>
      <c r="BL35" s="47" t="s">
        <v>71</v>
      </c>
      <c r="BM35" s="75" t="s">
        <v>1912</v>
      </c>
    </row>
    <row r="36" spans="3:65" s="48" customFormat="1" ht="37.95" customHeight="1">
      <c r="C36" s="79" t="s">
        <v>92</v>
      </c>
      <c r="D36" s="79" t="s">
        <v>883</v>
      </c>
      <c r="E36" s="80" t="s">
        <v>943</v>
      </c>
      <c r="F36" s="81" t="s">
        <v>944</v>
      </c>
      <c r="G36" s="82" t="s">
        <v>54</v>
      </c>
      <c r="H36" s="83">
        <v>19</v>
      </c>
      <c r="I36" s="527"/>
      <c r="J36" s="84">
        <f>ROUND(I36*H36,2)</f>
        <v>0</v>
      </c>
      <c r="K36" s="521"/>
      <c r="L36" s="525" t="s">
        <v>2474</v>
      </c>
      <c r="M36" s="71" t="s">
        <v>854</v>
      </c>
      <c r="N36" s="72" t="s">
        <v>860</v>
      </c>
      <c r="O36" s="73">
        <v>0.891</v>
      </c>
      <c r="P36" s="73">
        <f>O36*H36</f>
        <v>16.929000000000002</v>
      </c>
      <c r="Q36" s="73">
        <v>0.49985</v>
      </c>
      <c r="R36" s="73">
        <f>Q36*H36</f>
        <v>9.49715</v>
      </c>
      <c r="S36" s="73">
        <v>0</v>
      </c>
      <c r="T36" s="74">
        <f>S36*H36</f>
        <v>0</v>
      </c>
      <c r="AR36" s="75" t="s">
        <v>71</v>
      </c>
      <c r="AT36" s="75" t="s">
        <v>883</v>
      </c>
      <c r="AU36" s="75" t="s">
        <v>63</v>
      </c>
      <c r="AY36" s="47" t="s">
        <v>881</v>
      </c>
      <c r="BE36" s="76">
        <f>IF(N36="základní",J36,0)</f>
        <v>0</v>
      </c>
      <c r="BF36" s="76">
        <f>IF(N36="snížená",J36,0)</f>
        <v>0</v>
      </c>
      <c r="BG36" s="76">
        <f>IF(N36="zákl. přenesená",J36,0)</f>
        <v>0</v>
      </c>
      <c r="BH36" s="76">
        <f>IF(N36="sníž. přenesená",J36,0)</f>
        <v>0</v>
      </c>
      <c r="BI36" s="76">
        <f>IF(N36="nulová",J36,0)</f>
        <v>0</v>
      </c>
      <c r="BJ36" s="47" t="s">
        <v>51</v>
      </c>
      <c r="BK36" s="76">
        <f>ROUND(I36*H36,2)</f>
        <v>0</v>
      </c>
      <c r="BL36" s="47" t="s">
        <v>71</v>
      </c>
      <c r="BM36" s="75" t="s">
        <v>1913</v>
      </c>
    </row>
    <row r="37" spans="3:65" s="48" customFormat="1" ht="24.15" customHeight="1">
      <c r="C37" s="79" t="s">
        <v>102</v>
      </c>
      <c r="D37" s="79" t="s">
        <v>883</v>
      </c>
      <c r="E37" s="80" t="s">
        <v>949</v>
      </c>
      <c r="F37" s="81" t="s">
        <v>950</v>
      </c>
      <c r="G37" s="82" t="s">
        <v>54</v>
      </c>
      <c r="H37" s="83">
        <v>19</v>
      </c>
      <c r="I37" s="527"/>
      <c r="J37" s="84">
        <f>ROUND(I37*H37,2)</f>
        <v>0</v>
      </c>
      <c r="K37" s="521"/>
      <c r="L37" s="525" t="s">
        <v>2130</v>
      </c>
      <c r="M37" s="71" t="s">
        <v>854</v>
      </c>
      <c r="N37" s="72" t="s">
        <v>860</v>
      </c>
      <c r="O37" s="73">
        <v>2.25</v>
      </c>
      <c r="P37" s="73">
        <f>O37*H37</f>
        <v>42.75</v>
      </c>
      <c r="Q37" s="73">
        <v>0.60904</v>
      </c>
      <c r="R37" s="73">
        <f>Q37*H37</f>
        <v>11.571760000000001</v>
      </c>
      <c r="S37" s="73">
        <v>0</v>
      </c>
      <c r="T37" s="74">
        <f>S37*H37</f>
        <v>0</v>
      </c>
      <c r="AR37" s="75" t="s">
        <v>71</v>
      </c>
      <c r="AT37" s="75" t="s">
        <v>883</v>
      </c>
      <c r="AU37" s="75" t="s">
        <v>63</v>
      </c>
      <c r="AY37" s="47" t="s">
        <v>881</v>
      </c>
      <c r="BE37" s="76">
        <f>IF(N37="základní",J37,0)</f>
        <v>0</v>
      </c>
      <c r="BF37" s="76">
        <f>IF(N37="snížená",J37,0)</f>
        <v>0</v>
      </c>
      <c r="BG37" s="76">
        <f>IF(N37="zákl. přenesená",J37,0)</f>
        <v>0</v>
      </c>
      <c r="BH37" s="76">
        <f>IF(N37="sníž. přenesená",J37,0)</f>
        <v>0</v>
      </c>
      <c r="BI37" s="76">
        <f>IF(N37="nulová",J37,0)</f>
        <v>0</v>
      </c>
      <c r="BJ37" s="47" t="s">
        <v>51</v>
      </c>
      <c r="BK37" s="76">
        <f>ROUND(I37*H37,2)</f>
        <v>0</v>
      </c>
      <c r="BL37" s="47" t="s">
        <v>71</v>
      </c>
      <c r="BM37" s="75" t="s">
        <v>1914</v>
      </c>
    </row>
    <row r="38" spans="4:63" s="64" customFormat="1" ht="22.95" customHeight="1">
      <c r="D38" s="65" t="s">
        <v>877</v>
      </c>
      <c r="E38" s="205" t="s">
        <v>94</v>
      </c>
      <c r="F38" s="205" t="s">
        <v>955</v>
      </c>
      <c r="J38" s="206">
        <f>BK38</f>
        <v>0</v>
      </c>
      <c r="L38" s="69"/>
      <c r="M38" s="66"/>
      <c r="P38" s="67">
        <f>SUM(P39:P40)</f>
        <v>35.55</v>
      </c>
      <c r="R38" s="67">
        <f>SUM(R39:R40)</f>
        <v>0.126</v>
      </c>
      <c r="T38" s="68">
        <f>SUM(T39:T40)</f>
        <v>0</v>
      </c>
      <c r="AR38" s="65" t="s">
        <v>51</v>
      </c>
      <c r="AT38" s="69" t="s">
        <v>877</v>
      </c>
      <c r="AU38" s="69" t="s">
        <v>51</v>
      </c>
      <c r="AY38" s="65" t="s">
        <v>881</v>
      </c>
      <c r="BK38" s="70">
        <f>SUM(BK39:BK40)</f>
        <v>0</v>
      </c>
    </row>
    <row r="39" spans="3:65" s="48" customFormat="1" ht="21.75" customHeight="1">
      <c r="C39" s="79" t="s">
        <v>114</v>
      </c>
      <c r="D39" s="79" t="s">
        <v>883</v>
      </c>
      <c r="E39" s="80" t="s">
        <v>1129</v>
      </c>
      <c r="F39" s="81" t="s">
        <v>1130</v>
      </c>
      <c r="G39" s="82" t="s">
        <v>74</v>
      </c>
      <c r="H39" s="83">
        <v>450</v>
      </c>
      <c r="I39" s="527"/>
      <c r="J39" s="84">
        <f>ROUND(I39*H39,2)</f>
        <v>0</v>
      </c>
      <c r="K39" s="521"/>
      <c r="L39" s="525" t="s">
        <v>2474</v>
      </c>
      <c r="M39" s="71" t="s">
        <v>854</v>
      </c>
      <c r="N39" s="72" t="s">
        <v>860</v>
      </c>
      <c r="O39" s="73">
        <v>0.054</v>
      </c>
      <c r="P39" s="73">
        <f>O39*H39</f>
        <v>24.3</v>
      </c>
      <c r="Q39" s="73">
        <v>0.00019</v>
      </c>
      <c r="R39" s="73">
        <f>Q39*H39</f>
        <v>0.0855</v>
      </c>
      <c r="S39" s="73">
        <v>0</v>
      </c>
      <c r="T39" s="74">
        <f>S39*H39</f>
        <v>0</v>
      </c>
      <c r="AR39" s="75" t="s">
        <v>71</v>
      </c>
      <c r="AT39" s="75" t="s">
        <v>883</v>
      </c>
      <c r="AU39" s="75" t="s">
        <v>63</v>
      </c>
      <c r="AY39" s="47" t="s">
        <v>881</v>
      </c>
      <c r="BE39" s="76">
        <f>IF(N39="základní",J39,0)</f>
        <v>0</v>
      </c>
      <c r="BF39" s="76">
        <f>IF(N39="snížená",J39,0)</f>
        <v>0</v>
      </c>
      <c r="BG39" s="76">
        <f>IF(N39="zákl. přenesená",J39,0)</f>
        <v>0</v>
      </c>
      <c r="BH39" s="76">
        <f>IF(N39="sníž. přenesená",J39,0)</f>
        <v>0</v>
      </c>
      <c r="BI39" s="76">
        <f>IF(N39="nulová",J39,0)</f>
        <v>0</v>
      </c>
      <c r="BJ39" s="47" t="s">
        <v>51</v>
      </c>
      <c r="BK39" s="76">
        <f>ROUND(I39*H39,2)</f>
        <v>0</v>
      </c>
      <c r="BL39" s="47" t="s">
        <v>71</v>
      </c>
      <c r="BM39" s="75" t="s">
        <v>1915</v>
      </c>
    </row>
    <row r="40" spans="3:65" s="48" customFormat="1" ht="21.75" customHeight="1">
      <c r="C40" s="79" t="s">
        <v>121</v>
      </c>
      <c r="D40" s="79" t="s">
        <v>883</v>
      </c>
      <c r="E40" s="80" t="s">
        <v>1136</v>
      </c>
      <c r="F40" s="81" t="s">
        <v>1137</v>
      </c>
      <c r="G40" s="82" t="s">
        <v>74</v>
      </c>
      <c r="H40" s="83">
        <v>450</v>
      </c>
      <c r="I40" s="527"/>
      <c r="J40" s="84">
        <f>ROUND(I40*H40,2)</f>
        <v>0</v>
      </c>
      <c r="K40" s="521"/>
      <c r="L40" s="525" t="s">
        <v>2474</v>
      </c>
      <c r="M40" s="71" t="s">
        <v>854</v>
      </c>
      <c r="N40" s="72" t="s">
        <v>860</v>
      </c>
      <c r="O40" s="73">
        <v>0.025</v>
      </c>
      <c r="P40" s="73">
        <f>O40*H40</f>
        <v>11.25</v>
      </c>
      <c r="Q40" s="73">
        <v>9E-05</v>
      </c>
      <c r="R40" s="73">
        <f>Q40*H40</f>
        <v>0.0405</v>
      </c>
      <c r="S40" s="73">
        <v>0</v>
      </c>
      <c r="T40" s="74">
        <f>S40*H40</f>
        <v>0</v>
      </c>
      <c r="AR40" s="75" t="s">
        <v>71</v>
      </c>
      <c r="AT40" s="75" t="s">
        <v>883</v>
      </c>
      <c r="AU40" s="75" t="s">
        <v>63</v>
      </c>
      <c r="AY40" s="47" t="s">
        <v>881</v>
      </c>
      <c r="BE40" s="76">
        <f>IF(N40="základní",J40,0)</f>
        <v>0</v>
      </c>
      <c r="BF40" s="76">
        <f>IF(N40="snížená",J40,0)</f>
        <v>0</v>
      </c>
      <c r="BG40" s="76">
        <f>IF(N40="zákl. přenesená",J40,0)</f>
        <v>0</v>
      </c>
      <c r="BH40" s="76">
        <f>IF(N40="sníž. přenesená",J40,0)</f>
        <v>0</v>
      </c>
      <c r="BI40" s="76">
        <f>IF(N40="nulová",J40,0)</f>
        <v>0</v>
      </c>
      <c r="BJ40" s="47" t="s">
        <v>51</v>
      </c>
      <c r="BK40" s="76">
        <f>ROUND(I40*H40,2)</f>
        <v>0</v>
      </c>
      <c r="BL40" s="47" t="s">
        <v>71</v>
      </c>
      <c r="BM40" s="75" t="s">
        <v>1916</v>
      </c>
    </row>
    <row r="41" spans="4:63" s="64" customFormat="1" ht="22.95" customHeight="1">
      <c r="D41" s="65" t="s">
        <v>877</v>
      </c>
      <c r="E41" s="205" t="s">
        <v>98</v>
      </c>
      <c r="F41" s="205" t="s">
        <v>1139</v>
      </c>
      <c r="J41" s="206">
        <f>BK41</f>
        <v>0</v>
      </c>
      <c r="L41" s="69"/>
      <c r="M41" s="66"/>
      <c r="P41" s="67">
        <f>P42</f>
        <v>0.536</v>
      </c>
      <c r="R41" s="67">
        <f>R42</f>
        <v>0.3108</v>
      </c>
      <c r="T41" s="68">
        <f>T42</f>
        <v>0</v>
      </c>
      <c r="AR41" s="65" t="s">
        <v>51</v>
      </c>
      <c r="AT41" s="69" t="s">
        <v>877</v>
      </c>
      <c r="AU41" s="69" t="s">
        <v>51</v>
      </c>
      <c r="AY41" s="65" t="s">
        <v>881</v>
      </c>
      <c r="BK41" s="70">
        <f>BK42</f>
        <v>0</v>
      </c>
    </row>
    <row r="42" spans="3:65" s="48" customFormat="1" ht="33" customHeight="1">
      <c r="C42" s="79" t="s">
        <v>157</v>
      </c>
      <c r="D42" s="79" t="s">
        <v>883</v>
      </c>
      <c r="E42" s="80" t="s">
        <v>1832</v>
      </c>
      <c r="F42" s="81" t="s">
        <v>1833</v>
      </c>
      <c r="G42" s="82" t="s">
        <v>74</v>
      </c>
      <c r="H42" s="83">
        <v>2</v>
      </c>
      <c r="I42" s="527"/>
      <c r="J42" s="84">
        <f>ROUND(I42*H42,2)</f>
        <v>0</v>
      </c>
      <c r="K42" s="521"/>
      <c r="L42" s="525" t="s">
        <v>2474</v>
      </c>
      <c r="M42" s="71" t="s">
        <v>854</v>
      </c>
      <c r="N42" s="72" t="s">
        <v>860</v>
      </c>
      <c r="O42" s="73">
        <v>0.268</v>
      </c>
      <c r="P42" s="73">
        <f>O42*H42</f>
        <v>0.536</v>
      </c>
      <c r="Q42" s="73">
        <v>0.1554</v>
      </c>
      <c r="R42" s="73">
        <f>Q42*H42</f>
        <v>0.3108</v>
      </c>
      <c r="S42" s="73">
        <v>0</v>
      </c>
      <c r="T42" s="74">
        <f>S42*H42</f>
        <v>0</v>
      </c>
      <c r="AR42" s="75" t="s">
        <v>71</v>
      </c>
      <c r="AT42" s="75" t="s">
        <v>883</v>
      </c>
      <c r="AU42" s="75" t="s">
        <v>63</v>
      </c>
      <c r="AY42" s="47" t="s">
        <v>881</v>
      </c>
      <c r="BE42" s="76">
        <f>IF(N42="základní",J42,0)</f>
        <v>0</v>
      </c>
      <c r="BF42" s="76">
        <f>IF(N42="snížená",J42,0)</f>
        <v>0</v>
      </c>
      <c r="BG42" s="76">
        <f>IF(N42="zákl. přenesená",J42,0)</f>
        <v>0</v>
      </c>
      <c r="BH42" s="76">
        <f>IF(N42="sníž. přenesená",J42,0)</f>
        <v>0</v>
      </c>
      <c r="BI42" s="76">
        <f>IF(N42="nulová",J42,0)</f>
        <v>0</v>
      </c>
      <c r="BJ42" s="47" t="s">
        <v>51</v>
      </c>
      <c r="BK42" s="76">
        <f>ROUND(I42*H42,2)</f>
        <v>0</v>
      </c>
      <c r="BL42" s="47" t="s">
        <v>71</v>
      </c>
      <c r="BM42" s="75" t="s">
        <v>1917</v>
      </c>
    </row>
    <row r="43" spans="4:63" s="64" customFormat="1" ht="22.95" customHeight="1">
      <c r="D43" s="65" t="s">
        <v>877</v>
      </c>
      <c r="E43" s="205" t="s">
        <v>1149</v>
      </c>
      <c r="F43" s="205" t="s">
        <v>1150</v>
      </c>
      <c r="J43" s="206">
        <f>BK43</f>
        <v>0</v>
      </c>
      <c r="L43" s="69"/>
      <c r="M43" s="66"/>
      <c r="P43" s="67">
        <f>SUM(P44:P47)</f>
        <v>21.092399999999998</v>
      </c>
      <c r="R43" s="67">
        <f>SUM(R44:R47)</f>
        <v>0</v>
      </c>
      <c r="T43" s="68">
        <f>SUM(T44:T47)</f>
        <v>0</v>
      </c>
      <c r="AR43" s="65" t="s">
        <v>51</v>
      </c>
      <c r="AT43" s="69" t="s">
        <v>877</v>
      </c>
      <c r="AU43" s="69" t="s">
        <v>51</v>
      </c>
      <c r="AY43" s="65" t="s">
        <v>881</v>
      </c>
      <c r="BK43" s="70">
        <f>SUM(BK44:BK47)</f>
        <v>0</v>
      </c>
    </row>
    <row r="44" spans="3:65" s="48" customFormat="1" ht="16.5" customHeight="1">
      <c r="C44" s="79" t="s">
        <v>161</v>
      </c>
      <c r="D44" s="79" t="s">
        <v>883</v>
      </c>
      <c r="E44" s="80" t="s">
        <v>1151</v>
      </c>
      <c r="F44" s="81" t="s">
        <v>1152</v>
      </c>
      <c r="G44" s="82" t="s">
        <v>125</v>
      </c>
      <c r="H44" s="83">
        <v>17.36</v>
      </c>
      <c r="I44" s="527"/>
      <c r="J44" s="84">
        <f>ROUND(I44*H44,2)</f>
        <v>0</v>
      </c>
      <c r="K44" s="521"/>
      <c r="L44" s="525" t="s">
        <v>2474</v>
      </c>
      <c r="M44" s="71" t="s">
        <v>854</v>
      </c>
      <c r="N44" s="72" t="s">
        <v>860</v>
      </c>
      <c r="O44" s="73">
        <v>0.835</v>
      </c>
      <c r="P44" s="73">
        <f>O44*H44</f>
        <v>14.4956</v>
      </c>
      <c r="Q44" s="73">
        <v>0</v>
      </c>
      <c r="R44" s="73">
        <f>Q44*H44</f>
        <v>0</v>
      </c>
      <c r="S44" s="73">
        <v>0</v>
      </c>
      <c r="T44" s="74">
        <f>S44*H44</f>
        <v>0</v>
      </c>
      <c r="AR44" s="75" t="s">
        <v>71</v>
      </c>
      <c r="AT44" s="75" t="s">
        <v>883</v>
      </c>
      <c r="AU44" s="75" t="s">
        <v>63</v>
      </c>
      <c r="AY44" s="47" t="s">
        <v>881</v>
      </c>
      <c r="BE44" s="76">
        <f>IF(N44="základní",J44,0)</f>
        <v>0</v>
      </c>
      <c r="BF44" s="76">
        <f>IF(N44="snížená",J44,0)</f>
        <v>0</v>
      </c>
      <c r="BG44" s="76">
        <f>IF(N44="zákl. přenesená",J44,0)</f>
        <v>0</v>
      </c>
      <c r="BH44" s="76">
        <f>IF(N44="sníž. přenesená",J44,0)</f>
        <v>0</v>
      </c>
      <c r="BI44" s="76">
        <f>IF(N44="nulová",J44,0)</f>
        <v>0</v>
      </c>
      <c r="BJ44" s="47" t="s">
        <v>51</v>
      </c>
      <c r="BK44" s="76">
        <f>ROUND(I44*H44,2)</f>
        <v>0</v>
      </c>
      <c r="BL44" s="47" t="s">
        <v>71</v>
      </c>
      <c r="BM44" s="75" t="s">
        <v>1918</v>
      </c>
    </row>
    <row r="45" spans="3:65" s="48" customFormat="1" ht="24.15" customHeight="1">
      <c r="C45" s="79" t="s">
        <v>165</v>
      </c>
      <c r="D45" s="79" t="s">
        <v>883</v>
      </c>
      <c r="E45" s="80" t="s">
        <v>1154</v>
      </c>
      <c r="F45" s="81" t="s">
        <v>1155</v>
      </c>
      <c r="G45" s="82" t="s">
        <v>125</v>
      </c>
      <c r="H45" s="83">
        <v>17.36</v>
      </c>
      <c r="I45" s="527"/>
      <c r="J45" s="84">
        <f>ROUND(I45*H45,2)</f>
        <v>0</v>
      </c>
      <c r="K45" s="521"/>
      <c r="L45" s="525" t="s">
        <v>2474</v>
      </c>
      <c r="M45" s="71" t="s">
        <v>854</v>
      </c>
      <c r="N45" s="72" t="s">
        <v>860</v>
      </c>
      <c r="O45" s="73">
        <v>0.004</v>
      </c>
      <c r="P45" s="73">
        <f>O45*H45</f>
        <v>0.06944</v>
      </c>
      <c r="Q45" s="73">
        <v>0</v>
      </c>
      <c r="R45" s="73">
        <f>Q45*H45</f>
        <v>0</v>
      </c>
      <c r="S45" s="73">
        <v>0</v>
      </c>
      <c r="T45" s="74">
        <f>S45*H45</f>
        <v>0</v>
      </c>
      <c r="AR45" s="75" t="s">
        <v>71</v>
      </c>
      <c r="AT45" s="75" t="s">
        <v>883</v>
      </c>
      <c r="AU45" s="75" t="s">
        <v>63</v>
      </c>
      <c r="AY45" s="47" t="s">
        <v>881</v>
      </c>
      <c r="BE45" s="76">
        <f>IF(N45="základní",J45,0)</f>
        <v>0</v>
      </c>
      <c r="BF45" s="76">
        <f>IF(N45="snížená",J45,0)</f>
        <v>0</v>
      </c>
      <c r="BG45" s="76">
        <f>IF(N45="zákl. přenesená",J45,0)</f>
        <v>0</v>
      </c>
      <c r="BH45" s="76">
        <f>IF(N45="sníž. přenesená",J45,0)</f>
        <v>0</v>
      </c>
      <c r="BI45" s="76">
        <f>IF(N45="nulová",J45,0)</f>
        <v>0</v>
      </c>
      <c r="BJ45" s="47" t="s">
        <v>51</v>
      </c>
      <c r="BK45" s="76">
        <f>ROUND(I45*H45,2)</f>
        <v>0</v>
      </c>
      <c r="BL45" s="47" t="s">
        <v>71</v>
      </c>
      <c r="BM45" s="75" t="s">
        <v>1919</v>
      </c>
    </row>
    <row r="46" spans="3:65" s="48" customFormat="1" ht="24.15" customHeight="1">
      <c r="C46" s="79" t="s">
        <v>70</v>
      </c>
      <c r="D46" s="79" t="s">
        <v>883</v>
      </c>
      <c r="E46" s="80" t="s">
        <v>1157</v>
      </c>
      <c r="F46" s="81" t="s">
        <v>1158</v>
      </c>
      <c r="G46" s="82" t="s">
        <v>125</v>
      </c>
      <c r="H46" s="83">
        <v>17.36</v>
      </c>
      <c r="I46" s="527"/>
      <c r="J46" s="84">
        <f>ROUND(I46*H46,2)</f>
        <v>0</v>
      </c>
      <c r="K46" s="521"/>
      <c r="L46" s="525" t="s">
        <v>2474</v>
      </c>
      <c r="M46" s="71" t="s">
        <v>854</v>
      </c>
      <c r="N46" s="72" t="s">
        <v>860</v>
      </c>
      <c r="O46" s="73">
        <v>0.376</v>
      </c>
      <c r="P46" s="73">
        <f>O46*H46</f>
        <v>6.52736</v>
      </c>
      <c r="Q46" s="73">
        <v>0</v>
      </c>
      <c r="R46" s="73">
        <f>Q46*H46</f>
        <v>0</v>
      </c>
      <c r="S46" s="73">
        <v>0</v>
      </c>
      <c r="T46" s="74">
        <f>S46*H46</f>
        <v>0</v>
      </c>
      <c r="AR46" s="75" t="s">
        <v>71</v>
      </c>
      <c r="AT46" s="75" t="s">
        <v>883</v>
      </c>
      <c r="AU46" s="75" t="s">
        <v>63</v>
      </c>
      <c r="AY46" s="47" t="s">
        <v>881</v>
      </c>
      <c r="BE46" s="76">
        <f>IF(N46="základní",J46,0)</f>
        <v>0</v>
      </c>
      <c r="BF46" s="76">
        <f>IF(N46="snížená",J46,0)</f>
        <v>0</v>
      </c>
      <c r="BG46" s="76">
        <f>IF(N46="zákl. přenesená",J46,0)</f>
        <v>0</v>
      </c>
      <c r="BH46" s="76">
        <f>IF(N46="sníž. přenesená",J46,0)</f>
        <v>0</v>
      </c>
      <c r="BI46" s="76">
        <f>IF(N46="nulová",J46,0)</f>
        <v>0</v>
      </c>
      <c r="BJ46" s="47" t="s">
        <v>51</v>
      </c>
      <c r="BK46" s="76">
        <f>ROUND(I46*H46,2)</f>
        <v>0</v>
      </c>
      <c r="BL46" s="47" t="s">
        <v>71</v>
      </c>
      <c r="BM46" s="75" t="s">
        <v>1920</v>
      </c>
    </row>
    <row r="47" spans="3:65" s="48" customFormat="1" ht="24.15" customHeight="1">
      <c r="C47" s="79" t="s">
        <v>172</v>
      </c>
      <c r="D47" s="79" t="s">
        <v>883</v>
      </c>
      <c r="E47" s="80" t="s">
        <v>1163</v>
      </c>
      <c r="F47" s="81" t="s">
        <v>915</v>
      </c>
      <c r="G47" s="82" t="s">
        <v>125</v>
      </c>
      <c r="H47" s="83">
        <v>17.36</v>
      </c>
      <c r="I47" s="527"/>
      <c r="J47" s="84">
        <f>ROUND(I47*H47,2)</f>
        <v>0</v>
      </c>
      <c r="K47" s="521"/>
      <c r="L47" s="525" t="s">
        <v>2474</v>
      </c>
      <c r="M47" s="71" t="s">
        <v>854</v>
      </c>
      <c r="N47" s="72" t="s">
        <v>860</v>
      </c>
      <c r="O47" s="73">
        <v>0</v>
      </c>
      <c r="P47" s="73">
        <f>O47*H47</f>
        <v>0</v>
      </c>
      <c r="Q47" s="73">
        <v>0</v>
      </c>
      <c r="R47" s="73">
        <f>Q47*H47</f>
        <v>0</v>
      </c>
      <c r="S47" s="73">
        <v>0</v>
      </c>
      <c r="T47" s="74">
        <f>S47*H47</f>
        <v>0</v>
      </c>
      <c r="AR47" s="75" t="s">
        <v>71</v>
      </c>
      <c r="AT47" s="75" t="s">
        <v>883</v>
      </c>
      <c r="AU47" s="75" t="s">
        <v>63</v>
      </c>
      <c r="AY47" s="47" t="s">
        <v>881</v>
      </c>
      <c r="BE47" s="76">
        <f>IF(N47="základní",J47,0)</f>
        <v>0</v>
      </c>
      <c r="BF47" s="76">
        <f>IF(N47="snížená",J47,0)</f>
        <v>0</v>
      </c>
      <c r="BG47" s="76">
        <f>IF(N47="zákl. přenesená",J47,0)</f>
        <v>0</v>
      </c>
      <c r="BH47" s="76">
        <f>IF(N47="sníž. přenesená",J47,0)</f>
        <v>0</v>
      </c>
      <c r="BI47" s="76">
        <f>IF(N47="nulová",J47,0)</f>
        <v>0</v>
      </c>
      <c r="BJ47" s="47" t="s">
        <v>51</v>
      </c>
      <c r="BK47" s="76">
        <f>ROUND(I47*H47,2)</f>
        <v>0</v>
      </c>
      <c r="BL47" s="47" t="s">
        <v>71</v>
      </c>
      <c r="BM47" s="75" t="s">
        <v>1921</v>
      </c>
    </row>
    <row r="48" spans="4:63" s="64" customFormat="1" ht="22.95" customHeight="1">
      <c r="D48" s="65" t="s">
        <v>877</v>
      </c>
      <c r="E48" s="205" t="s">
        <v>1165</v>
      </c>
      <c r="F48" s="205" t="s">
        <v>1166</v>
      </c>
      <c r="J48" s="206">
        <f>BK48</f>
        <v>0</v>
      </c>
      <c r="L48" s="69"/>
      <c r="M48" s="66"/>
      <c r="P48" s="67">
        <f>P49</f>
        <v>225.7</v>
      </c>
      <c r="R48" s="67">
        <f>R49</f>
        <v>0</v>
      </c>
      <c r="T48" s="68">
        <f>T49</f>
        <v>0</v>
      </c>
      <c r="AR48" s="65" t="s">
        <v>51</v>
      </c>
      <c r="AT48" s="69" t="s">
        <v>877</v>
      </c>
      <c r="AU48" s="69" t="s">
        <v>51</v>
      </c>
      <c r="AY48" s="65" t="s">
        <v>881</v>
      </c>
      <c r="BK48" s="70">
        <f>BK49</f>
        <v>0</v>
      </c>
    </row>
    <row r="49" spans="3:65" s="48" customFormat="1" ht="24.15" customHeight="1">
      <c r="C49" s="79" t="s">
        <v>177</v>
      </c>
      <c r="D49" s="79" t="s">
        <v>883</v>
      </c>
      <c r="E49" s="80" t="s">
        <v>1402</v>
      </c>
      <c r="F49" s="81" t="s">
        <v>1403</v>
      </c>
      <c r="G49" s="82" t="s">
        <v>125</v>
      </c>
      <c r="H49" s="83">
        <v>152.5</v>
      </c>
      <c r="I49" s="527"/>
      <c r="J49" s="84">
        <f>ROUND(I49*H49,2)</f>
        <v>0</v>
      </c>
      <c r="K49" s="521"/>
      <c r="L49" s="525" t="s">
        <v>2474</v>
      </c>
      <c r="M49" s="71" t="s">
        <v>854</v>
      </c>
      <c r="N49" s="72" t="s">
        <v>860</v>
      </c>
      <c r="O49" s="73">
        <v>1.48</v>
      </c>
      <c r="P49" s="73">
        <f>O49*H49</f>
        <v>225.7</v>
      </c>
      <c r="Q49" s="73">
        <v>0</v>
      </c>
      <c r="R49" s="73">
        <f>Q49*H49</f>
        <v>0</v>
      </c>
      <c r="S49" s="73">
        <v>0</v>
      </c>
      <c r="T49" s="74">
        <f>S49*H49</f>
        <v>0</v>
      </c>
      <c r="AR49" s="75" t="s">
        <v>71</v>
      </c>
      <c r="AT49" s="75" t="s">
        <v>883</v>
      </c>
      <c r="AU49" s="75" t="s">
        <v>63</v>
      </c>
      <c r="AY49" s="47" t="s">
        <v>881</v>
      </c>
      <c r="BE49" s="76">
        <f>IF(N49="základní",J49,0)</f>
        <v>0</v>
      </c>
      <c r="BF49" s="76">
        <f>IF(N49="snížená",J49,0)</f>
        <v>0</v>
      </c>
      <c r="BG49" s="76">
        <f>IF(N49="zákl. přenesená",J49,0)</f>
        <v>0</v>
      </c>
      <c r="BH49" s="76">
        <f>IF(N49="sníž. přenesená",J49,0)</f>
        <v>0</v>
      </c>
      <c r="BI49" s="76">
        <f>IF(N49="nulová",J49,0)</f>
        <v>0</v>
      </c>
      <c r="BJ49" s="47" t="s">
        <v>51</v>
      </c>
      <c r="BK49" s="76">
        <f>ROUND(I49*H49,2)</f>
        <v>0</v>
      </c>
      <c r="BL49" s="47" t="s">
        <v>71</v>
      </c>
      <c r="BM49" s="75" t="s">
        <v>1922</v>
      </c>
    </row>
    <row r="50" spans="4:63" s="64" customFormat="1" ht="25.95" customHeight="1">
      <c r="D50" s="65" t="s">
        <v>877</v>
      </c>
      <c r="E50" s="203" t="s">
        <v>1411</v>
      </c>
      <c r="F50" s="203" t="s">
        <v>1840</v>
      </c>
      <c r="J50" s="204">
        <f>BK50</f>
        <v>0</v>
      </c>
      <c r="L50" s="69"/>
      <c r="M50" s="66"/>
      <c r="P50" s="67">
        <f>P51</f>
        <v>3.33</v>
      </c>
      <c r="R50" s="67">
        <f>R51</f>
        <v>0.032240000000000005</v>
      </c>
      <c r="T50" s="68">
        <f>T51</f>
        <v>0</v>
      </c>
      <c r="AR50" s="65" t="s">
        <v>63</v>
      </c>
      <c r="AT50" s="69" t="s">
        <v>877</v>
      </c>
      <c r="AU50" s="69" t="s">
        <v>880</v>
      </c>
      <c r="AY50" s="65" t="s">
        <v>881</v>
      </c>
      <c r="BK50" s="70">
        <f>BK51</f>
        <v>0</v>
      </c>
    </row>
    <row r="51" spans="4:63" s="64" customFormat="1" ht="22.95" customHeight="1">
      <c r="D51" s="65" t="s">
        <v>877</v>
      </c>
      <c r="E51" s="205" t="s">
        <v>1923</v>
      </c>
      <c r="F51" s="205" t="s">
        <v>1924</v>
      </c>
      <c r="J51" s="206">
        <f>BK51</f>
        <v>0</v>
      </c>
      <c r="L51" s="69"/>
      <c r="M51" s="66"/>
      <c r="P51" s="67">
        <f>SUM(P52:P55)</f>
        <v>3.33</v>
      </c>
      <c r="R51" s="67">
        <f>SUM(R52:R55)</f>
        <v>0.032240000000000005</v>
      </c>
      <c r="T51" s="68">
        <f>SUM(T52:T55)</f>
        <v>0</v>
      </c>
      <c r="AR51" s="65" t="s">
        <v>63</v>
      </c>
      <c r="AT51" s="69" t="s">
        <v>877</v>
      </c>
      <c r="AU51" s="69" t="s">
        <v>51</v>
      </c>
      <c r="AY51" s="65" t="s">
        <v>881</v>
      </c>
      <c r="BK51" s="70">
        <f>SUM(BK52:BK55)</f>
        <v>0</v>
      </c>
    </row>
    <row r="52" spans="3:65" s="48" customFormat="1" ht="33" customHeight="1">
      <c r="C52" s="79" t="s">
        <v>181</v>
      </c>
      <c r="D52" s="79" t="s">
        <v>883</v>
      </c>
      <c r="E52" s="80" t="s">
        <v>1925</v>
      </c>
      <c r="F52" s="81" t="s">
        <v>2494</v>
      </c>
      <c r="G52" s="82" t="s">
        <v>260</v>
      </c>
      <c r="H52" s="83">
        <v>4</v>
      </c>
      <c r="I52" s="527"/>
      <c r="J52" s="84">
        <f>ROUND(I52*H52,2)</f>
        <v>0</v>
      </c>
      <c r="K52" s="521"/>
      <c r="L52" s="525" t="s">
        <v>2474</v>
      </c>
      <c r="M52" s="71" t="s">
        <v>854</v>
      </c>
      <c r="N52" s="72" t="s">
        <v>860</v>
      </c>
      <c r="O52" s="73">
        <v>0.228</v>
      </c>
      <c r="P52" s="73">
        <f>O52*H52</f>
        <v>0.912</v>
      </c>
      <c r="Q52" s="73">
        <v>0.00061</v>
      </c>
      <c r="R52" s="73">
        <f>Q52*H52</f>
        <v>0.00244</v>
      </c>
      <c r="S52" s="73">
        <v>0</v>
      </c>
      <c r="T52" s="74">
        <f>S52*H52</f>
        <v>0</v>
      </c>
      <c r="AR52" s="75" t="s">
        <v>92</v>
      </c>
      <c r="AT52" s="75" t="s">
        <v>883</v>
      </c>
      <c r="AU52" s="75" t="s">
        <v>63</v>
      </c>
      <c r="AY52" s="47" t="s">
        <v>881</v>
      </c>
      <c r="BE52" s="76">
        <f>IF(N52="základní",J52,0)</f>
        <v>0</v>
      </c>
      <c r="BF52" s="76">
        <f>IF(N52="snížená",J52,0)</f>
        <v>0</v>
      </c>
      <c r="BG52" s="76">
        <f>IF(N52="zákl. přenesená",J52,0)</f>
        <v>0</v>
      </c>
      <c r="BH52" s="76">
        <f>IF(N52="sníž. přenesená",J52,0)</f>
        <v>0</v>
      </c>
      <c r="BI52" s="76">
        <f>IF(N52="nulová",J52,0)</f>
        <v>0</v>
      </c>
      <c r="BJ52" s="47" t="s">
        <v>51</v>
      </c>
      <c r="BK52" s="76">
        <f>ROUND(I52*H52,2)</f>
        <v>0</v>
      </c>
      <c r="BL52" s="47" t="s">
        <v>92</v>
      </c>
      <c r="BM52" s="75" t="s">
        <v>1926</v>
      </c>
    </row>
    <row r="53" spans="3:65" s="48" customFormat="1" ht="24.15" customHeight="1">
      <c r="C53" s="79" t="s">
        <v>187</v>
      </c>
      <c r="D53" s="79" t="s">
        <v>883</v>
      </c>
      <c r="E53" s="80" t="s">
        <v>1927</v>
      </c>
      <c r="F53" s="81" t="s">
        <v>1928</v>
      </c>
      <c r="G53" s="82" t="s">
        <v>260</v>
      </c>
      <c r="H53" s="83">
        <v>2</v>
      </c>
      <c r="I53" s="527"/>
      <c r="J53" s="84">
        <f>ROUND(I53*H53,2)</f>
        <v>0</v>
      </c>
      <c r="K53" s="521"/>
      <c r="L53" s="525" t="s">
        <v>2474</v>
      </c>
      <c r="M53" s="71" t="s">
        <v>854</v>
      </c>
      <c r="N53" s="72" t="s">
        <v>860</v>
      </c>
      <c r="O53" s="73">
        <v>0.269</v>
      </c>
      <c r="P53" s="73">
        <f>O53*H53</f>
        <v>0.538</v>
      </c>
      <c r="Q53" s="73">
        <v>0.00088</v>
      </c>
      <c r="R53" s="73">
        <f>Q53*H53</f>
        <v>0.00176</v>
      </c>
      <c r="S53" s="73">
        <v>0</v>
      </c>
      <c r="T53" s="74">
        <f>S53*H53</f>
        <v>0</v>
      </c>
      <c r="AR53" s="75" t="s">
        <v>92</v>
      </c>
      <c r="AT53" s="75" t="s">
        <v>883</v>
      </c>
      <c r="AU53" s="75" t="s">
        <v>63</v>
      </c>
      <c r="AY53" s="47" t="s">
        <v>881</v>
      </c>
      <c r="BE53" s="76">
        <f>IF(N53="základní",J53,0)</f>
        <v>0</v>
      </c>
      <c r="BF53" s="76">
        <f>IF(N53="snížená",J53,0)</f>
        <v>0</v>
      </c>
      <c r="BG53" s="76">
        <f>IF(N53="zákl. přenesená",J53,0)</f>
        <v>0</v>
      </c>
      <c r="BH53" s="76">
        <f>IF(N53="sníž. přenesená",J53,0)</f>
        <v>0</v>
      </c>
      <c r="BI53" s="76">
        <f>IF(N53="nulová",J53,0)</f>
        <v>0</v>
      </c>
      <c r="BJ53" s="47" t="s">
        <v>51</v>
      </c>
      <c r="BK53" s="76">
        <f>ROUND(I53*H53,2)</f>
        <v>0</v>
      </c>
      <c r="BL53" s="47" t="s">
        <v>92</v>
      </c>
      <c r="BM53" s="75" t="s">
        <v>1929</v>
      </c>
    </row>
    <row r="54" spans="3:65" s="48" customFormat="1" ht="24.15" customHeight="1">
      <c r="C54" s="79" t="s">
        <v>198</v>
      </c>
      <c r="D54" s="79" t="s">
        <v>883</v>
      </c>
      <c r="E54" s="80" t="s">
        <v>1930</v>
      </c>
      <c r="F54" s="81" t="s">
        <v>1931</v>
      </c>
      <c r="G54" s="82" t="s">
        <v>260</v>
      </c>
      <c r="H54" s="83">
        <v>2</v>
      </c>
      <c r="I54" s="527"/>
      <c r="J54" s="84">
        <f>ROUND(I54*H54,2)</f>
        <v>0</v>
      </c>
      <c r="K54" s="521"/>
      <c r="L54" s="525" t="s">
        <v>2130</v>
      </c>
      <c r="M54" s="71" t="s">
        <v>854</v>
      </c>
      <c r="N54" s="72" t="s">
        <v>860</v>
      </c>
      <c r="O54" s="73">
        <v>0.2</v>
      </c>
      <c r="P54" s="73">
        <f>O54*H54</f>
        <v>0.4</v>
      </c>
      <c r="Q54" s="73">
        <v>0.005</v>
      </c>
      <c r="R54" s="73">
        <f>Q54*H54</f>
        <v>0.01</v>
      </c>
      <c r="S54" s="73">
        <v>0</v>
      </c>
      <c r="T54" s="74">
        <f>S54*H54</f>
        <v>0</v>
      </c>
      <c r="AR54" s="75" t="s">
        <v>92</v>
      </c>
      <c r="AT54" s="75" t="s">
        <v>883</v>
      </c>
      <c r="AU54" s="75" t="s">
        <v>63</v>
      </c>
      <c r="AY54" s="47" t="s">
        <v>881</v>
      </c>
      <c r="BE54" s="76">
        <f>IF(N54="základní",J54,0)</f>
        <v>0</v>
      </c>
      <c r="BF54" s="76">
        <f>IF(N54="snížená",J54,0)</f>
        <v>0</v>
      </c>
      <c r="BG54" s="76">
        <f>IF(N54="zákl. přenesená",J54,0)</f>
        <v>0</v>
      </c>
      <c r="BH54" s="76">
        <f>IF(N54="sníž. přenesená",J54,0)</f>
        <v>0</v>
      </c>
      <c r="BI54" s="76">
        <f>IF(N54="nulová",J54,0)</f>
        <v>0</v>
      </c>
      <c r="BJ54" s="47" t="s">
        <v>51</v>
      </c>
      <c r="BK54" s="76">
        <f>ROUND(I54*H54,2)</f>
        <v>0</v>
      </c>
      <c r="BL54" s="47" t="s">
        <v>92</v>
      </c>
      <c r="BM54" s="75" t="s">
        <v>1932</v>
      </c>
    </row>
    <row r="55" spans="3:65" s="48" customFormat="1" ht="37.95" customHeight="1">
      <c r="C55" s="79" t="s">
        <v>206</v>
      </c>
      <c r="D55" s="79" t="s">
        <v>883</v>
      </c>
      <c r="E55" s="80" t="s">
        <v>1933</v>
      </c>
      <c r="F55" s="81" t="s">
        <v>1934</v>
      </c>
      <c r="G55" s="82" t="s">
        <v>1499</v>
      </c>
      <c r="H55" s="83">
        <v>2</v>
      </c>
      <c r="I55" s="527"/>
      <c r="J55" s="84">
        <f>ROUND(I55*H55,2)</f>
        <v>0</v>
      </c>
      <c r="K55" s="521"/>
      <c r="L55" s="525" t="s">
        <v>2130</v>
      </c>
      <c r="M55" s="71" t="s">
        <v>854</v>
      </c>
      <c r="N55" s="72" t="s">
        <v>860</v>
      </c>
      <c r="O55" s="73">
        <v>0.74</v>
      </c>
      <c r="P55" s="73">
        <f>O55*H55</f>
        <v>1.48</v>
      </c>
      <c r="Q55" s="73">
        <v>0.00902</v>
      </c>
      <c r="R55" s="73">
        <f>Q55*H55</f>
        <v>0.01804</v>
      </c>
      <c r="S55" s="73">
        <v>0</v>
      </c>
      <c r="T55" s="74">
        <f>S55*H55</f>
        <v>0</v>
      </c>
      <c r="AR55" s="75" t="s">
        <v>92</v>
      </c>
      <c r="AT55" s="75" t="s">
        <v>883</v>
      </c>
      <c r="AU55" s="75" t="s">
        <v>63</v>
      </c>
      <c r="AY55" s="47" t="s">
        <v>881</v>
      </c>
      <c r="BE55" s="76">
        <f>IF(N55="základní",J55,0)</f>
        <v>0</v>
      </c>
      <c r="BF55" s="76">
        <f>IF(N55="snížená",J55,0)</f>
        <v>0</v>
      </c>
      <c r="BG55" s="76">
        <f>IF(N55="zákl. přenesená",J55,0)</f>
        <v>0</v>
      </c>
      <c r="BH55" s="76">
        <f>IF(N55="sníž. přenesená",J55,0)</f>
        <v>0</v>
      </c>
      <c r="BI55" s="76">
        <f>IF(N55="nulová",J55,0)</f>
        <v>0</v>
      </c>
      <c r="BJ55" s="47" t="s">
        <v>51</v>
      </c>
      <c r="BK55" s="76">
        <f>ROUND(I55*H55,2)</f>
        <v>0</v>
      </c>
      <c r="BL55" s="47" t="s">
        <v>92</v>
      </c>
      <c r="BM55" s="75" t="s">
        <v>1935</v>
      </c>
    </row>
    <row r="56" spans="4:63" s="64" customFormat="1" ht="25.95" customHeight="1">
      <c r="D56" s="65" t="s">
        <v>877</v>
      </c>
      <c r="E56" s="203" t="s">
        <v>201</v>
      </c>
      <c r="F56" s="203" t="s">
        <v>1412</v>
      </c>
      <c r="J56" s="204">
        <f>BK56</f>
        <v>0</v>
      </c>
      <c r="L56" s="69"/>
      <c r="M56" s="66"/>
      <c r="P56" s="67">
        <f>P57</f>
        <v>135.20600000000002</v>
      </c>
      <c r="R56" s="67">
        <f>R57</f>
        <v>1.0342654500000001</v>
      </c>
      <c r="T56" s="68">
        <f>T57</f>
        <v>0</v>
      </c>
      <c r="AR56" s="65" t="s">
        <v>67</v>
      </c>
      <c r="AT56" s="69" t="s">
        <v>877</v>
      </c>
      <c r="AU56" s="69" t="s">
        <v>880</v>
      </c>
      <c r="AY56" s="65" t="s">
        <v>881</v>
      </c>
      <c r="BK56" s="70">
        <f>BK57</f>
        <v>0</v>
      </c>
    </row>
    <row r="57" spans="4:63" s="64" customFormat="1" ht="22.95" customHeight="1">
      <c r="D57" s="65" t="s">
        <v>877</v>
      </c>
      <c r="E57" s="205" t="s">
        <v>1841</v>
      </c>
      <c r="F57" s="205" t="s">
        <v>1842</v>
      </c>
      <c r="J57" s="206">
        <f>BK57</f>
        <v>0</v>
      </c>
      <c r="L57" s="69"/>
      <c r="M57" s="66"/>
      <c r="P57" s="67">
        <f>SUM(P58:P77)</f>
        <v>135.20600000000002</v>
      </c>
      <c r="R57" s="67">
        <f>SUM(R58:R77)</f>
        <v>1.0342654500000001</v>
      </c>
      <c r="T57" s="68">
        <f>SUM(T58:T77)</f>
        <v>0</v>
      </c>
      <c r="AR57" s="65" t="s">
        <v>67</v>
      </c>
      <c r="AT57" s="69" t="s">
        <v>877</v>
      </c>
      <c r="AU57" s="69" t="s">
        <v>51</v>
      </c>
      <c r="AY57" s="65" t="s">
        <v>881</v>
      </c>
      <c r="BK57" s="70">
        <f>SUM(BK58:BK77)</f>
        <v>0</v>
      </c>
    </row>
    <row r="58" spans="3:65" s="48" customFormat="1" ht="24.15" customHeight="1">
      <c r="C58" s="79" t="s">
        <v>211</v>
      </c>
      <c r="D58" s="79" t="s">
        <v>883</v>
      </c>
      <c r="E58" s="80" t="s">
        <v>1850</v>
      </c>
      <c r="F58" s="81" t="s">
        <v>1851</v>
      </c>
      <c r="G58" s="82" t="s">
        <v>74</v>
      </c>
      <c r="H58" s="83">
        <v>6</v>
      </c>
      <c r="I58" s="527"/>
      <c r="J58" s="84">
        <f aca="true" t="shared" si="10" ref="J58:J77">ROUND(I58*H58,2)</f>
        <v>0</v>
      </c>
      <c r="K58" s="521"/>
      <c r="L58" s="525" t="s">
        <v>2474</v>
      </c>
      <c r="M58" s="71" t="s">
        <v>854</v>
      </c>
      <c r="N58" s="72" t="s">
        <v>860</v>
      </c>
      <c r="O58" s="73">
        <v>0.142</v>
      </c>
      <c r="P58" s="73">
        <f aca="true" t="shared" si="11" ref="P58:P77">O58*H58</f>
        <v>0.8519999999999999</v>
      </c>
      <c r="Q58" s="73">
        <v>0</v>
      </c>
      <c r="R58" s="73">
        <f aca="true" t="shared" si="12" ref="R58:R77">Q58*H58</f>
        <v>0</v>
      </c>
      <c r="S58" s="73">
        <v>0</v>
      </c>
      <c r="T58" s="74">
        <f aca="true" t="shared" si="13" ref="T58:T77">S58*H58</f>
        <v>0</v>
      </c>
      <c r="AR58" s="75" t="s">
        <v>363</v>
      </c>
      <c r="AT58" s="75" t="s">
        <v>883</v>
      </c>
      <c r="AU58" s="75" t="s">
        <v>63</v>
      </c>
      <c r="AY58" s="47" t="s">
        <v>881</v>
      </c>
      <c r="BE58" s="76">
        <f aca="true" t="shared" si="14" ref="BE58:BE77">IF(N58="základní",J58,0)</f>
        <v>0</v>
      </c>
      <c r="BF58" s="76">
        <f aca="true" t="shared" si="15" ref="BF58:BF77">IF(N58="snížená",J58,0)</f>
        <v>0</v>
      </c>
      <c r="BG58" s="76">
        <f aca="true" t="shared" si="16" ref="BG58:BG77">IF(N58="zákl. přenesená",J58,0)</f>
        <v>0</v>
      </c>
      <c r="BH58" s="76">
        <f aca="true" t="shared" si="17" ref="BH58:BH77">IF(N58="sníž. přenesená",J58,0)</f>
        <v>0</v>
      </c>
      <c r="BI58" s="76">
        <f aca="true" t="shared" si="18" ref="BI58:BI77">IF(N58="nulová",J58,0)</f>
        <v>0</v>
      </c>
      <c r="BJ58" s="47" t="s">
        <v>51</v>
      </c>
      <c r="BK58" s="76">
        <f aca="true" t="shared" si="19" ref="BK58:BK77">ROUND(I58*H58,2)</f>
        <v>0</v>
      </c>
      <c r="BL58" s="47" t="s">
        <v>363</v>
      </c>
      <c r="BM58" s="75" t="s">
        <v>1936</v>
      </c>
    </row>
    <row r="59" spans="3:65" s="48" customFormat="1" ht="21.75" customHeight="1">
      <c r="C59" s="85" t="s">
        <v>108</v>
      </c>
      <c r="D59" s="85" t="s">
        <v>201</v>
      </c>
      <c r="E59" s="86" t="s">
        <v>1853</v>
      </c>
      <c r="F59" s="87" t="s">
        <v>1854</v>
      </c>
      <c r="G59" s="88" t="s">
        <v>74</v>
      </c>
      <c r="H59" s="89">
        <v>6.09</v>
      </c>
      <c r="I59" s="528"/>
      <c r="J59" s="90">
        <f t="shared" si="10"/>
        <v>0</v>
      </c>
      <c r="K59" s="522"/>
      <c r="L59" s="525" t="s">
        <v>2474</v>
      </c>
      <c r="M59" s="77" t="s">
        <v>854</v>
      </c>
      <c r="N59" s="78" t="s">
        <v>860</v>
      </c>
      <c r="O59" s="73">
        <v>0</v>
      </c>
      <c r="P59" s="73">
        <f t="shared" si="11"/>
        <v>0</v>
      </c>
      <c r="Q59" s="73">
        <v>0.00028</v>
      </c>
      <c r="R59" s="73">
        <f t="shared" si="12"/>
        <v>0.0017051999999999998</v>
      </c>
      <c r="S59" s="73">
        <v>0</v>
      </c>
      <c r="T59" s="74">
        <f t="shared" si="13"/>
        <v>0</v>
      </c>
      <c r="AR59" s="75" t="s">
        <v>1470</v>
      </c>
      <c r="AT59" s="75" t="s">
        <v>201</v>
      </c>
      <c r="AU59" s="75" t="s">
        <v>63</v>
      </c>
      <c r="AY59" s="47" t="s">
        <v>881</v>
      </c>
      <c r="BE59" s="76">
        <f t="shared" si="14"/>
        <v>0</v>
      </c>
      <c r="BF59" s="76">
        <f t="shared" si="15"/>
        <v>0</v>
      </c>
      <c r="BG59" s="76">
        <f t="shared" si="16"/>
        <v>0</v>
      </c>
      <c r="BH59" s="76">
        <f t="shared" si="17"/>
        <v>0</v>
      </c>
      <c r="BI59" s="76">
        <f t="shared" si="18"/>
        <v>0</v>
      </c>
      <c r="BJ59" s="47" t="s">
        <v>51</v>
      </c>
      <c r="BK59" s="76">
        <f t="shared" si="19"/>
        <v>0</v>
      </c>
      <c r="BL59" s="47" t="s">
        <v>1470</v>
      </c>
      <c r="BM59" s="75" t="s">
        <v>1937</v>
      </c>
    </row>
    <row r="60" spans="3:65" s="48" customFormat="1" ht="24.15" customHeight="1">
      <c r="C60" s="79" t="s">
        <v>221</v>
      </c>
      <c r="D60" s="79" t="s">
        <v>883</v>
      </c>
      <c r="E60" s="80" t="s">
        <v>1938</v>
      </c>
      <c r="F60" s="81" t="s">
        <v>1939</v>
      </c>
      <c r="G60" s="82" t="s">
        <v>74</v>
      </c>
      <c r="H60" s="83">
        <v>15</v>
      </c>
      <c r="I60" s="527"/>
      <c r="J60" s="84">
        <f t="shared" si="10"/>
        <v>0</v>
      </c>
      <c r="K60" s="521"/>
      <c r="L60" s="525" t="s">
        <v>2474</v>
      </c>
      <c r="M60" s="71" t="s">
        <v>854</v>
      </c>
      <c r="N60" s="72" t="s">
        <v>860</v>
      </c>
      <c r="O60" s="73">
        <v>0.163</v>
      </c>
      <c r="P60" s="73">
        <f t="shared" si="11"/>
        <v>2.4450000000000003</v>
      </c>
      <c r="Q60" s="73">
        <v>0</v>
      </c>
      <c r="R60" s="73">
        <f t="shared" si="12"/>
        <v>0</v>
      </c>
      <c r="S60" s="73">
        <v>0</v>
      </c>
      <c r="T60" s="74">
        <f t="shared" si="13"/>
        <v>0</v>
      </c>
      <c r="AR60" s="75" t="s">
        <v>363</v>
      </c>
      <c r="AT60" s="75" t="s">
        <v>883</v>
      </c>
      <c r="AU60" s="75" t="s">
        <v>63</v>
      </c>
      <c r="AY60" s="47" t="s">
        <v>881</v>
      </c>
      <c r="BE60" s="76">
        <f t="shared" si="14"/>
        <v>0</v>
      </c>
      <c r="BF60" s="76">
        <f t="shared" si="15"/>
        <v>0</v>
      </c>
      <c r="BG60" s="76">
        <f t="shared" si="16"/>
        <v>0</v>
      </c>
      <c r="BH60" s="76">
        <f t="shared" si="17"/>
        <v>0</v>
      </c>
      <c r="BI60" s="76">
        <f t="shared" si="18"/>
        <v>0</v>
      </c>
      <c r="BJ60" s="47" t="s">
        <v>51</v>
      </c>
      <c r="BK60" s="76">
        <f t="shared" si="19"/>
        <v>0</v>
      </c>
      <c r="BL60" s="47" t="s">
        <v>363</v>
      </c>
      <c r="BM60" s="75" t="s">
        <v>1940</v>
      </c>
    </row>
    <row r="61" spans="3:65" s="48" customFormat="1" ht="24.15" customHeight="1">
      <c r="C61" s="85" t="s">
        <v>226</v>
      </c>
      <c r="D61" s="85" t="s">
        <v>201</v>
      </c>
      <c r="E61" s="86" t="s">
        <v>1941</v>
      </c>
      <c r="F61" s="87" t="s">
        <v>1942</v>
      </c>
      <c r="G61" s="88" t="s">
        <v>74</v>
      </c>
      <c r="H61" s="89">
        <v>15.225</v>
      </c>
      <c r="I61" s="528"/>
      <c r="J61" s="90">
        <f t="shared" si="10"/>
        <v>0</v>
      </c>
      <c r="K61" s="522"/>
      <c r="L61" s="525" t="s">
        <v>2474</v>
      </c>
      <c r="M61" s="77" t="s">
        <v>854</v>
      </c>
      <c r="N61" s="78" t="s">
        <v>860</v>
      </c>
      <c r="O61" s="73">
        <v>0</v>
      </c>
      <c r="P61" s="73">
        <f t="shared" si="11"/>
        <v>0</v>
      </c>
      <c r="Q61" s="73">
        <v>0.00043</v>
      </c>
      <c r="R61" s="73">
        <f t="shared" si="12"/>
        <v>0.00654675</v>
      </c>
      <c r="S61" s="73">
        <v>0</v>
      </c>
      <c r="T61" s="74">
        <f t="shared" si="13"/>
        <v>0</v>
      </c>
      <c r="AR61" s="75" t="s">
        <v>1470</v>
      </c>
      <c r="AT61" s="75" t="s">
        <v>201</v>
      </c>
      <c r="AU61" s="75" t="s">
        <v>63</v>
      </c>
      <c r="AY61" s="47" t="s">
        <v>881</v>
      </c>
      <c r="BE61" s="76">
        <f t="shared" si="14"/>
        <v>0</v>
      </c>
      <c r="BF61" s="76">
        <f t="shared" si="15"/>
        <v>0</v>
      </c>
      <c r="BG61" s="76">
        <f t="shared" si="16"/>
        <v>0</v>
      </c>
      <c r="BH61" s="76">
        <f t="shared" si="17"/>
        <v>0</v>
      </c>
      <c r="BI61" s="76">
        <f t="shared" si="18"/>
        <v>0</v>
      </c>
      <c r="BJ61" s="47" t="s">
        <v>51</v>
      </c>
      <c r="BK61" s="76">
        <f t="shared" si="19"/>
        <v>0</v>
      </c>
      <c r="BL61" s="47" t="s">
        <v>1470</v>
      </c>
      <c r="BM61" s="75" t="s">
        <v>1943</v>
      </c>
    </row>
    <row r="62" spans="3:65" s="48" customFormat="1" ht="24.15" customHeight="1">
      <c r="C62" s="79" t="s">
        <v>229</v>
      </c>
      <c r="D62" s="79" t="s">
        <v>883</v>
      </c>
      <c r="E62" s="80" t="s">
        <v>1856</v>
      </c>
      <c r="F62" s="81" t="s">
        <v>1944</v>
      </c>
      <c r="G62" s="82" t="s">
        <v>74</v>
      </c>
      <c r="H62" s="83">
        <v>429</v>
      </c>
      <c r="I62" s="527"/>
      <c r="J62" s="84">
        <f t="shared" si="10"/>
        <v>0</v>
      </c>
      <c r="K62" s="521"/>
      <c r="L62" s="525" t="s">
        <v>2474</v>
      </c>
      <c r="M62" s="71" t="s">
        <v>854</v>
      </c>
      <c r="N62" s="72" t="s">
        <v>860</v>
      </c>
      <c r="O62" s="73">
        <v>0.225</v>
      </c>
      <c r="P62" s="73">
        <f t="shared" si="11"/>
        <v>96.525</v>
      </c>
      <c r="Q62" s="73">
        <v>0</v>
      </c>
      <c r="R62" s="73">
        <f t="shared" si="12"/>
        <v>0</v>
      </c>
      <c r="S62" s="73">
        <v>0</v>
      </c>
      <c r="T62" s="74">
        <f t="shared" si="13"/>
        <v>0</v>
      </c>
      <c r="AR62" s="75" t="s">
        <v>363</v>
      </c>
      <c r="AT62" s="75" t="s">
        <v>883</v>
      </c>
      <c r="AU62" s="75" t="s">
        <v>63</v>
      </c>
      <c r="AY62" s="47" t="s">
        <v>881</v>
      </c>
      <c r="BE62" s="76">
        <f t="shared" si="14"/>
        <v>0</v>
      </c>
      <c r="BF62" s="76">
        <f t="shared" si="15"/>
        <v>0</v>
      </c>
      <c r="BG62" s="76">
        <f t="shared" si="16"/>
        <v>0</v>
      </c>
      <c r="BH62" s="76">
        <f t="shared" si="17"/>
        <v>0</v>
      </c>
      <c r="BI62" s="76">
        <f t="shared" si="18"/>
        <v>0</v>
      </c>
      <c r="BJ62" s="47" t="s">
        <v>51</v>
      </c>
      <c r="BK62" s="76">
        <f t="shared" si="19"/>
        <v>0</v>
      </c>
      <c r="BL62" s="47" t="s">
        <v>363</v>
      </c>
      <c r="BM62" s="75" t="s">
        <v>1945</v>
      </c>
    </row>
    <row r="63" spans="3:65" s="48" customFormat="1" ht="24.15" customHeight="1">
      <c r="C63" s="85" t="s">
        <v>112</v>
      </c>
      <c r="D63" s="85" t="s">
        <v>201</v>
      </c>
      <c r="E63" s="86" t="s">
        <v>1859</v>
      </c>
      <c r="F63" s="87" t="s">
        <v>1860</v>
      </c>
      <c r="G63" s="88" t="s">
        <v>74</v>
      </c>
      <c r="H63" s="89">
        <v>435.435</v>
      </c>
      <c r="I63" s="528"/>
      <c r="J63" s="90">
        <f t="shared" si="10"/>
        <v>0</v>
      </c>
      <c r="K63" s="522"/>
      <c r="L63" s="525" t="s">
        <v>2474</v>
      </c>
      <c r="M63" s="77" t="s">
        <v>854</v>
      </c>
      <c r="N63" s="78" t="s">
        <v>860</v>
      </c>
      <c r="O63" s="73">
        <v>0</v>
      </c>
      <c r="P63" s="73">
        <f t="shared" si="11"/>
        <v>0</v>
      </c>
      <c r="Q63" s="73">
        <v>0.0021</v>
      </c>
      <c r="R63" s="73">
        <f t="shared" si="12"/>
        <v>0.9144135</v>
      </c>
      <c r="S63" s="73">
        <v>0</v>
      </c>
      <c r="T63" s="74">
        <f t="shared" si="13"/>
        <v>0</v>
      </c>
      <c r="AR63" s="75" t="s">
        <v>1470</v>
      </c>
      <c r="AT63" s="75" t="s">
        <v>201</v>
      </c>
      <c r="AU63" s="75" t="s">
        <v>63</v>
      </c>
      <c r="AY63" s="47" t="s">
        <v>881</v>
      </c>
      <c r="BE63" s="76">
        <f t="shared" si="14"/>
        <v>0</v>
      </c>
      <c r="BF63" s="76">
        <f t="shared" si="15"/>
        <v>0</v>
      </c>
      <c r="BG63" s="76">
        <f t="shared" si="16"/>
        <v>0</v>
      </c>
      <c r="BH63" s="76">
        <f t="shared" si="17"/>
        <v>0</v>
      </c>
      <c r="BI63" s="76">
        <f t="shared" si="18"/>
        <v>0</v>
      </c>
      <c r="BJ63" s="47" t="s">
        <v>51</v>
      </c>
      <c r="BK63" s="76">
        <f t="shared" si="19"/>
        <v>0</v>
      </c>
      <c r="BL63" s="47" t="s">
        <v>1470</v>
      </c>
      <c r="BM63" s="75" t="s">
        <v>1946</v>
      </c>
    </row>
    <row r="64" spans="3:65" s="48" customFormat="1" ht="37.95" customHeight="1">
      <c r="C64" s="79" t="s">
        <v>237</v>
      </c>
      <c r="D64" s="79" t="s">
        <v>883</v>
      </c>
      <c r="E64" s="80" t="s">
        <v>1947</v>
      </c>
      <c r="F64" s="81" t="s">
        <v>1948</v>
      </c>
      <c r="G64" s="82" t="s">
        <v>74</v>
      </c>
      <c r="H64" s="83">
        <v>5</v>
      </c>
      <c r="I64" s="527"/>
      <c r="J64" s="84">
        <f t="shared" si="10"/>
        <v>0</v>
      </c>
      <c r="K64" s="521"/>
      <c r="L64" s="525" t="s">
        <v>2474</v>
      </c>
      <c r="M64" s="71" t="s">
        <v>854</v>
      </c>
      <c r="N64" s="72" t="s">
        <v>860</v>
      </c>
      <c r="O64" s="73">
        <v>0.325</v>
      </c>
      <c r="P64" s="73">
        <f t="shared" si="11"/>
        <v>1.625</v>
      </c>
      <c r="Q64" s="73">
        <v>0</v>
      </c>
      <c r="R64" s="73">
        <f t="shared" si="12"/>
        <v>0</v>
      </c>
      <c r="S64" s="73">
        <v>0</v>
      </c>
      <c r="T64" s="74">
        <f t="shared" si="13"/>
        <v>0</v>
      </c>
      <c r="AR64" s="75" t="s">
        <v>363</v>
      </c>
      <c r="AT64" s="75" t="s">
        <v>883</v>
      </c>
      <c r="AU64" s="75" t="s">
        <v>63</v>
      </c>
      <c r="AY64" s="47" t="s">
        <v>881</v>
      </c>
      <c r="BE64" s="76">
        <f t="shared" si="14"/>
        <v>0</v>
      </c>
      <c r="BF64" s="76">
        <f t="shared" si="15"/>
        <v>0</v>
      </c>
      <c r="BG64" s="76">
        <f t="shared" si="16"/>
        <v>0</v>
      </c>
      <c r="BH64" s="76">
        <f t="shared" si="17"/>
        <v>0</v>
      </c>
      <c r="BI64" s="76">
        <f t="shared" si="18"/>
        <v>0</v>
      </c>
      <c r="BJ64" s="47" t="s">
        <v>51</v>
      </c>
      <c r="BK64" s="76">
        <f t="shared" si="19"/>
        <v>0</v>
      </c>
      <c r="BL64" s="47" t="s">
        <v>363</v>
      </c>
      <c r="BM64" s="75" t="s">
        <v>1949</v>
      </c>
    </row>
    <row r="65" spans="3:65" s="48" customFormat="1" ht="24.15" customHeight="1">
      <c r="C65" s="85" t="s">
        <v>243</v>
      </c>
      <c r="D65" s="85" t="s">
        <v>201</v>
      </c>
      <c r="E65" s="86" t="s">
        <v>1950</v>
      </c>
      <c r="F65" s="87" t="s">
        <v>1951</v>
      </c>
      <c r="G65" s="88" t="s">
        <v>74</v>
      </c>
      <c r="H65" s="89">
        <v>5</v>
      </c>
      <c r="I65" s="528"/>
      <c r="J65" s="90">
        <f t="shared" si="10"/>
        <v>0</v>
      </c>
      <c r="K65" s="522"/>
      <c r="L65" s="525" t="s">
        <v>2474</v>
      </c>
      <c r="M65" s="77" t="s">
        <v>854</v>
      </c>
      <c r="N65" s="78" t="s">
        <v>860</v>
      </c>
      <c r="O65" s="73">
        <v>0</v>
      </c>
      <c r="P65" s="73">
        <f t="shared" si="11"/>
        <v>0</v>
      </c>
      <c r="Q65" s="73">
        <v>0.00434</v>
      </c>
      <c r="R65" s="73">
        <f t="shared" si="12"/>
        <v>0.0217</v>
      </c>
      <c r="S65" s="73">
        <v>0</v>
      </c>
      <c r="T65" s="74">
        <f t="shared" si="13"/>
        <v>0</v>
      </c>
      <c r="AR65" s="75" t="s">
        <v>1470</v>
      </c>
      <c r="AT65" s="75" t="s">
        <v>201</v>
      </c>
      <c r="AU65" s="75" t="s">
        <v>63</v>
      </c>
      <c r="AY65" s="47" t="s">
        <v>881</v>
      </c>
      <c r="BE65" s="76">
        <f t="shared" si="14"/>
        <v>0</v>
      </c>
      <c r="BF65" s="76">
        <f t="shared" si="15"/>
        <v>0</v>
      </c>
      <c r="BG65" s="76">
        <f t="shared" si="16"/>
        <v>0</v>
      </c>
      <c r="BH65" s="76">
        <f t="shared" si="17"/>
        <v>0</v>
      </c>
      <c r="BI65" s="76">
        <f t="shared" si="18"/>
        <v>0</v>
      </c>
      <c r="BJ65" s="47" t="s">
        <v>51</v>
      </c>
      <c r="BK65" s="76">
        <f t="shared" si="19"/>
        <v>0</v>
      </c>
      <c r="BL65" s="47" t="s">
        <v>1470</v>
      </c>
      <c r="BM65" s="75" t="s">
        <v>1952</v>
      </c>
    </row>
    <row r="66" spans="3:65" s="48" customFormat="1" ht="24.15" customHeight="1">
      <c r="C66" s="79" t="s">
        <v>144</v>
      </c>
      <c r="D66" s="79" t="s">
        <v>883</v>
      </c>
      <c r="E66" s="80" t="s">
        <v>1953</v>
      </c>
      <c r="F66" s="81" t="s">
        <v>1954</v>
      </c>
      <c r="G66" s="82" t="s">
        <v>260</v>
      </c>
      <c r="H66" s="83">
        <v>2</v>
      </c>
      <c r="I66" s="527"/>
      <c r="J66" s="84">
        <f t="shared" si="10"/>
        <v>0</v>
      </c>
      <c r="K66" s="521"/>
      <c r="L66" s="525" t="s">
        <v>2474</v>
      </c>
      <c r="M66" s="71" t="s">
        <v>854</v>
      </c>
      <c r="N66" s="72" t="s">
        <v>860</v>
      </c>
      <c r="O66" s="73">
        <v>0.414</v>
      </c>
      <c r="P66" s="73">
        <f t="shared" si="11"/>
        <v>0.828</v>
      </c>
      <c r="Q66" s="73">
        <v>0</v>
      </c>
      <c r="R66" s="73">
        <f t="shared" si="12"/>
        <v>0</v>
      </c>
      <c r="S66" s="73">
        <v>0</v>
      </c>
      <c r="T66" s="74">
        <f t="shared" si="13"/>
        <v>0</v>
      </c>
      <c r="AR66" s="75" t="s">
        <v>363</v>
      </c>
      <c r="AT66" s="75" t="s">
        <v>883</v>
      </c>
      <c r="AU66" s="75" t="s">
        <v>63</v>
      </c>
      <c r="AY66" s="47" t="s">
        <v>881</v>
      </c>
      <c r="BE66" s="76">
        <f t="shared" si="14"/>
        <v>0</v>
      </c>
      <c r="BF66" s="76">
        <f t="shared" si="15"/>
        <v>0</v>
      </c>
      <c r="BG66" s="76">
        <f t="shared" si="16"/>
        <v>0</v>
      </c>
      <c r="BH66" s="76">
        <f t="shared" si="17"/>
        <v>0</v>
      </c>
      <c r="BI66" s="76">
        <f t="shared" si="18"/>
        <v>0</v>
      </c>
      <c r="BJ66" s="47" t="s">
        <v>51</v>
      </c>
      <c r="BK66" s="76">
        <f t="shared" si="19"/>
        <v>0</v>
      </c>
      <c r="BL66" s="47" t="s">
        <v>363</v>
      </c>
      <c r="BM66" s="75" t="s">
        <v>1955</v>
      </c>
    </row>
    <row r="67" spans="3:65" s="48" customFormat="1" ht="16.5" customHeight="1">
      <c r="C67" s="85" t="s">
        <v>250</v>
      </c>
      <c r="D67" s="85" t="s">
        <v>201</v>
      </c>
      <c r="E67" s="86" t="s">
        <v>1956</v>
      </c>
      <c r="F67" s="87" t="s">
        <v>1957</v>
      </c>
      <c r="G67" s="88" t="s">
        <v>260</v>
      </c>
      <c r="H67" s="89">
        <v>2</v>
      </c>
      <c r="I67" s="528"/>
      <c r="J67" s="90">
        <f t="shared" si="10"/>
        <v>0</v>
      </c>
      <c r="K67" s="522"/>
      <c r="L67" s="525" t="s">
        <v>2474</v>
      </c>
      <c r="M67" s="77" t="s">
        <v>854</v>
      </c>
      <c r="N67" s="78" t="s">
        <v>860</v>
      </c>
      <c r="O67" s="73">
        <v>0</v>
      </c>
      <c r="P67" s="73">
        <f t="shared" si="11"/>
        <v>0</v>
      </c>
      <c r="Q67" s="73">
        <v>0.00013</v>
      </c>
      <c r="R67" s="73">
        <f t="shared" si="12"/>
        <v>0.00026</v>
      </c>
      <c r="S67" s="73">
        <v>0</v>
      </c>
      <c r="T67" s="74">
        <f t="shared" si="13"/>
        <v>0</v>
      </c>
      <c r="AR67" s="75" t="s">
        <v>1470</v>
      </c>
      <c r="AT67" s="75" t="s">
        <v>201</v>
      </c>
      <c r="AU67" s="75" t="s">
        <v>63</v>
      </c>
      <c r="AY67" s="47" t="s">
        <v>881</v>
      </c>
      <c r="BE67" s="76">
        <f t="shared" si="14"/>
        <v>0</v>
      </c>
      <c r="BF67" s="76">
        <f t="shared" si="15"/>
        <v>0</v>
      </c>
      <c r="BG67" s="76">
        <f t="shared" si="16"/>
        <v>0</v>
      </c>
      <c r="BH67" s="76">
        <f t="shared" si="17"/>
        <v>0</v>
      </c>
      <c r="BI67" s="76">
        <f t="shared" si="18"/>
        <v>0</v>
      </c>
      <c r="BJ67" s="47" t="s">
        <v>51</v>
      </c>
      <c r="BK67" s="76">
        <f t="shared" si="19"/>
        <v>0</v>
      </c>
      <c r="BL67" s="47" t="s">
        <v>1470</v>
      </c>
      <c r="BM67" s="75" t="s">
        <v>1958</v>
      </c>
    </row>
    <row r="68" spans="3:65" s="48" customFormat="1" ht="24.15" customHeight="1">
      <c r="C68" s="79" t="s">
        <v>253</v>
      </c>
      <c r="D68" s="79" t="s">
        <v>883</v>
      </c>
      <c r="E68" s="80" t="s">
        <v>1868</v>
      </c>
      <c r="F68" s="81" t="s">
        <v>1869</v>
      </c>
      <c r="G68" s="82" t="s">
        <v>260</v>
      </c>
      <c r="H68" s="83">
        <v>32</v>
      </c>
      <c r="I68" s="527"/>
      <c r="J68" s="84">
        <f t="shared" si="10"/>
        <v>0</v>
      </c>
      <c r="K68" s="521"/>
      <c r="L68" s="525" t="s">
        <v>2474</v>
      </c>
      <c r="M68" s="71" t="s">
        <v>854</v>
      </c>
      <c r="N68" s="72" t="s">
        <v>860</v>
      </c>
      <c r="O68" s="73">
        <v>0.7</v>
      </c>
      <c r="P68" s="73">
        <f t="shared" si="11"/>
        <v>22.4</v>
      </c>
      <c r="Q68" s="73">
        <v>0</v>
      </c>
      <c r="R68" s="73">
        <f t="shared" si="12"/>
        <v>0</v>
      </c>
      <c r="S68" s="73">
        <v>0</v>
      </c>
      <c r="T68" s="74">
        <f t="shared" si="13"/>
        <v>0</v>
      </c>
      <c r="AR68" s="75" t="s">
        <v>363</v>
      </c>
      <c r="AT68" s="75" t="s">
        <v>883</v>
      </c>
      <c r="AU68" s="75" t="s">
        <v>63</v>
      </c>
      <c r="AY68" s="47" t="s">
        <v>881</v>
      </c>
      <c r="BE68" s="76">
        <f t="shared" si="14"/>
        <v>0</v>
      </c>
      <c r="BF68" s="76">
        <f t="shared" si="15"/>
        <v>0</v>
      </c>
      <c r="BG68" s="76">
        <f t="shared" si="16"/>
        <v>0</v>
      </c>
      <c r="BH68" s="76">
        <f t="shared" si="17"/>
        <v>0</v>
      </c>
      <c r="BI68" s="76">
        <f t="shared" si="18"/>
        <v>0</v>
      </c>
      <c r="BJ68" s="47" t="s">
        <v>51</v>
      </c>
      <c r="BK68" s="76">
        <f t="shared" si="19"/>
        <v>0</v>
      </c>
      <c r="BL68" s="47" t="s">
        <v>363</v>
      </c>
      <c r="BM68" s="75" t="s">
        <v>1959</v>
      </c>
    </row>
    <row r="69" spans="3:65" s="48" customFormat="1" ht="16.5" customHeight="1">
      <c r="C69" s="85" t="s">
        <v>257</v>
      </c>
      <c r="D69" s="85" t="s">
        <v>201</v>
      </c>
      <c r="E69" s="86" t="s">
        <v>1960</v>
      </c>
      <c r="F69" s="87" t="s">
        <v>1961</v>
      </c>
      <c r="G69" s="88" t="s">
        <v>260</v>
      </c>
      <c r="H69" s="89">
        <v>10</v>
      </c>
      <c r="I69" s="528"/>
      <c r="J69" s="90">
        <f t="shared" si="10"/>
        <v>0</v>
      </c>
      <c r="K69" s="522"/>
      <c r="L69" s="525" t="s">
        <v>2474</v>
      </c>
      <c r="M69" s="77" t="s">
        <v>854</v>
      </c>
      <c r="N69" s="78" t="s">
        <v>860</v>
      </c>
      <c r="O69" s="73">
        <v>0</v>
      </c>
      <c r="P69" s="73">
        <f t="shared" si="11"/>
        <v>0</v>
      </c>
      <c r="Q69" s="73">
        <v>0.00121</v>
      </c>
      <c r="R69" s="73">
        <f t="shared" si="12"/>
        <v>0.0121</v>
      </c>
      <c r="S69" s="73">
        <v>0</v>
      </c>
      <c r="T69" s="74">
        <f t="shared" si="13"/>
        <v>0</v>
      </c>
      <c r="AR69" s="75" t="s">
        <v>1470</v>
      </c>
      <c r="AT69" s="75" t="s">
        <v>201</v>
      </c>
      <c r="AU69" s="75" t="s">
        <v>63</v>
      </c>
      <c r="AY69" s="47" t="s">
        <v>881</v>
      </c>
      <c r="BE69" s="76">
        <f t="shared" si="14"/>
        <v>0</v>
      </c>
      <c r="BF69" s="76">
        <f t="shared" si="15"/>
        <v>0</v>
      </c>
      <c r="BG69" s="76">
        <f t="shared" si="16"/>
        <v>0</v>
      </c>
      <c r="BH69" s="76">
        <f t="shared" si="17"/>
        <v>0</v>
      </c>
      <c r="BI69" s="76">
        <f t="shared" si="18"/>
        <v>0</v>
      </c>
      <c r="BJ69" s="47" t="s">
        <v>51</v>
      </c>
      <c r="BK69" s="76">
        <f t="shared" si="19"/>
        <v>0</v>
      </c>
      <c r="BL69" s="47" t="s">
        <v>1470</v>
      </c>
      <c r="BM69" s="75" t="s">
        <v>1962</v>
      </c>
    </row>
    <row r="70" spans="3:65" s="48" customFormat="1" ht="16.5" customHeight="1">
      <c r="C70" s="85" t="s">
        <v>262</v>
      </c>
      <c r="D70" s="85" t="s">
        <v>201</v>
      </c>
      <c r="E70" s="86" t="s">
        <v>1874</v>
      </c>
      <c r="F70" s="87" t="s">
        <v>1875</v>
      </c>
      <c r="G70" s="88" t="s">
        <v>260</v>
      </c>
      <c r="H70" s="89">
        <v>12</v>
      </c>
      <c r="I70" s="528"/>
      <c r="J70" s="90">
        <f t="shared" si="10"/>
        <v>0</v>
      </c>
      <c r="K70" s="522"/>
      <c r="L70" s="525" t="s">
        <v>2474</v>
      </c>
      <c r="M70" s="77" t="s">
        <v>854</v>
      </c>
      <c r="N70" s="78" t="s">
        <v>860</v>
      </c>
      <c r="O70" s="73">
        <v>0</v>
      </c>
      <c r="P70" s="73">
        <f t="shared" si="11"/>
        <v>0</v>
      </c>
      <c r="Q70" s="73">
        <v>0.00072</v>
      </c>
      <c r="R70" s="73">
        <f t="shared" si="12"/>
        <v>0.00864</v>
      </c>
      <c r="S70" s="73">
        <v>0</v>
      </c>
      <c r="T70" s="74">
        <f t="shared" si="13"/>
        <v>0</v>
      </c>
      <c r="AR70" s="75" t="s">
        <v>1470</v>
      </c>
      <c r="AT70" s="75" t="s">
        <v>201</v>
      </c>
      <c r="AU70" s="75" t="s">
        <v>63</v>
      </c>
      <c r="AY70" s="47" t="s">
        <v>881</v>
      </c>
      <c r="BE70" s="76">
        <f t="shared" si="14"/>
        <v>0</v>
      </c>
      <c r="BF70" s="76">
        <f t="shared" si="15"/>
        <v>0</v>
      </c>
      <c r="BG70" s="76">
        <f t="shared" si="16"/>
        <v>0</v>
      </c>
      <c r="BH70" s="76">
        <f t="shared" si="17"/>
        <v>0</v>
      </c>
      <c r="BI70" s="76">
        <f t="shared" si="18"/>
        <v>0</v>
      </c>
      <c r="BJ70" s="47" t="s">
        <v>51</v>
      </c>
      <c r="BK70" s="76">
        <f t="shared" si="19"/>
        <v>0</v>
      </c>
      <c r="BL70" s="47" t="s">
        <v>1470</v>
      </c>
      <c r="BM70" s="75" t="s">
        <v>1963</v>
      </c>
    </row>
    <row r="71" spans="3:65" s="48" customFormat="1" ht="21.75" customHeight="1">
      <c r="C71" s="85" t="s">
        <v>266</v>
      </c>
      <c r="D71" s="85" t="s">
        <v>201</v>
      </c>
      <c r="E71" s="86" t="s">
        <v>1964</v>
      </c>
      <c r="F71" s="87" t="s">
        <v>1965</v>
      </c>
      <c r="G71" s="88" t="s">
        <v>260</v>
      </c>
      <c r="H71" s="89">
        <v>4</v>
      </c>
      <c r="I71" s="528"/>
      <c r="J71" s="90">
        <f t="shared" si="10"/>
        <v>0</v>
      </c>
      <c r="K71" s="522"/>
      <c r="L71" s="525" t="s">
        <v>2474</v>
      </c>
      <c r="M71" s="77" t="s">
        <v>854</v>
      </c>
      <c r="N71" s="78" t="s">
        <v>860</v>
      </c>
      <c r="O71" s="73">
        <v>0</v>
      </c>
      <c r="P71" s="73">
        <f t="shared" si="11"/>
        <v>0</v>
      </c>
      <c r="Q71" s="73">
        <v>0.00091</v>
      </c>
      <c r="R71" s="73">
        <f t="shared" si="12"/>
        <v>0.00364</v>
      </c>
      <c r="S71" s="73">
        <v>0</v>
      </c>
      <c r="T71" s="74">
        <f t="shared" si="13"/>
        <v>0</v>
      </c>
      <c r="AR71" s="75" t="s">
        <v>1470</v>
      </c>
      <c r="AT71" s="75" t="s">
        <v>201</v>
      </c>
      <c r="AU71" s="75" t="s">
        <v>63</v>
      </c>
      <c r="AY71" s="47" t="s">
        <v>881</v>
      </c>
      <c r="BE71" s="76">
        <f t="shared" si="14"/>
        <v>0</v>
      </c>
      <c r="BF71" s="76">
        <f t="shared" si="15"/>
        <v>0</v>
      </c>
      <c r="BG71" s="76">
        <f t="shared" si="16"/>
        <v>0</v>
      </c>
      <c r="BH71" s="76">
        <f t="shared" si="17"/>
        <v>0</v>
      </c>
      <c r="BI71" s="76">
        <f t="shared" si="18"/>
        <v>0</v>
      </c>
      <c r="BJ71" s="47" t="s">
        <v>51</v>
      </c>
      <c r="BK71" s="76">
        <f t="shared" si="19"/>
        <v>0</v>
      </c>
      <c r="BL71" s="47" t="s">
        <v>1470</v>
      </c>
      <c r="BM71" s="75" t="s">
        <v>1966</v>
      </c>
    </row>
    <row r="72" spans="3:65" s="48" customFormat="1" ht="16.5" customHeight="1">
      <c r="C72" s="85" t="s">
        <v>270</v>
      </c>
      <c r="D72" s="85" t="s">
        <v>201</v>
      </c>
      <c r="E72" s="86" t="s">
        <v>1967</v>
      </c>
      <c r="F72" s="87" t="s">
        <v>1968</v>
      </c>
      <c r="G72" s="88" t="s">
        <v>260</v>
      </c>
      <c r="H72" s="89">
        <v>4</v>
      </c>
      <c r="I72" s="528"/>
      <c r="J72" s="90">
        <f t="shared" si="10"/>
        <v>0</v>
      </c>
      <c r="K72" s="522"/>
      <c r="L72" s="525" t="s">
        <v>2474</v>
      </c>
      <c r="M72" s="77" t="s">
        <v>854</v>
      </c>
      <c r="N72" s="78" t="s">
        <v>860</v>
      </c>
      <c r="O72" s="73">
        <v>0</v>
      </c>
      <c r="P72" s="73">
        <f t="shared" si="11"/>
        <v>0</v>
      </c>
      <c r="Q72" s="73">
        <v>0.0012</v>
      </c>
      <c r="R72" s="73">
        <f t="shared" si="12"/>
        <v>0.0048</v>
      </c>
      <c r="S72" s="73">
        <v>0</v>
      </c>
      <c r="T72" s="74">
        <f t="shared" si="13"/>
        <v>0</v>
      </c>
      <c r="AR72" s="75" t="s">
        <v>1470</v>
      </c>
      <c r="AT72" s="75" t="s">
        <v>201</v>
      </c>
      <c r="AU72" s="75" t="s">
        <v>63</v>
      </c>
      <c r="AY72" s="47" t="s">
        <v>881</v>
      </c>
      <c r="BE72" s="76">
        <f t="shared" si="14"/>
        <v>0</v>
      </c>
      <c r="BF72" s="76">
        <f t="shared" si="15"/>
        <v>0</v>
      </c>
      <c r="BG72" s="76">
        <f t="shared" si="16"/>
        <v>0</v>
      </c>
      <c r="BH72" s="76">
        <f t="shared" si="17"/>
        <v>0</v>
      </c>
      <c r="BI72" s="76">
        <f t="shared" si="18"/>
        <v>0</v>
      </c>
      <c r="BJ72" s="47" t="s">
        <v>51</v>
      </c>
      <c r="BK72" s="76">
        <f t="shared" si="19"/>
        <v>0</v>
      </c>
      <c r="BL72" s="47" t="s">
        <v>1470</v>
      </c>
      <c r="BM72" s="75" t="s">
        <v>1969</v>
      </c>
    </row>
    <row r="73" spans="3:65" s="48" customFormat="1" ht="24.15" customHeight="1">
      <c r="C73" s="85" t="s">
        <v>275</v>
      </c>
      <c r="D73" s="85" t="s">
        <v>201</v>
      </c>
      <c r="E73" s="86" t="s">
        <v>1970</v>
      </c>
      <c r="F73" s="87" t="s">
        <v>1971</v>
      </c>
      <c r="G73" s="88" t="s">
        <v>260</v>
      </c>
      <c r="H73" s="89">
        <v>2</v>
      </c>
      <c r="I73" s="528"/>
      <c r="J73" s="90">
        <f t="shared" si="10"/>
        <v>0</v>
      </c>
      <c r="K73" s="522"/>
      <c r="L73" s="525" t="s">
        <v>2474</v>
      </c>
      <c r="M73" s="77" t="s">
        <v>854</v>
      </c>
      <c r="N73" s="78" t="s">
        <v>860</v>
      </c>
      <c r="O73" s="73">
        <v>0</v>
      </c>
      <c r="P73" s="73">
        <f t="shared" si="11"/>
        <v>0</v>
      </c>
      <c r="Q73" s="73">
        <v>0.00223</v>
      </c>
      <c r="R73" s="73">
        <f t="shared" si="12"/>
        <v>0.00446</v>
      </c>
      <c r="S73" s="73">
        <v>0</v>
      </c>
      <c r="T73" s="74">
        <f t="shared" si="13"/>
        <v>0</v>
      </c>
      <c r="AR73" s="75" t="s">
        <v>1470</v>
      </c>
      <c r="AT73" s="75" t="s">
        <v>201</v>
      </c>
      <c r="AU73" s="75" t="s">
        <v>63</v>
      </c>
      <c r="AY73" s="47" t="s">
        <v>881</v>
      </c>
      <c r="BE73" s="76">
        <f t="shared" si="14"/>
        <v>0</v>
      </c>
      <c r="BF73" s="76">
        <f t="shared" si="15"/>
        <v>0</v>
      </c>
      <c r="BG73" s="76">
        <f t="shared" si="16"/>
        <v>0</v>
      </c>
      <c r="BH73" s="76">
        <f t="shared" si="17"/>
        <v>0</v>
      </c>
      <c r="BI73" s="76">
        <f t="shared" si="18"/>
        <v>0</v>
      </c>
      <c r="BJ73" s="47" t="s">
        <v>51</v>
      </c>
      <c r="BK73" s="76">
        <f t="shared" si="19"/>
        <v>0</v>
      </c>
      <c r="BL73" s="47" t="s">
        <v>1470</v>
      </c>
      <c r="BM73" s="75" t="s">
        <v>1972</v>
      </c>
    </row>
    <row r="74" spans="3:65" s="48" customFormat="1" ht="16.5" customHeight="1">
      <c r="C74" s="79" t="s">
        <v>281</v>
      </c>
      <c r="D74" s="79" t="s">
        <v>883</v>
      </c>
      <c r="E74" s="80" t="s">
        <v>1973</v>
      </c>
      <c r="F74" s="81" t="s">
        <v>1974</v>
      </c>
      <c r="G74" s="82" t="s">
        <v>260</v>
      </c>
      <c r="H74" s="83">
        <v>4</v>
      </c>
      <c r="I74" s="527"/>
      <c r="J74" s="84">
        <f t="shared" si="10"/>
        <v>0</v>
      </c>
      <c r="K74" s="521"/>
      <c r="L74" s="525" t="s">
        <v>2474</v>
      </c>
      <c r="M74" s="71" t="s">
        <v>854</v>
      </c>
      <c r="N74" s="72" t="s">
        <v>860</v>
      </c>
      <c r="O74" s="73">
        <v>0.286</v>
      </c>
      <c r="P74" s="73">
        <f t="shared" si="11"/>
        <v>1.144</v>
      </c>
      <c r="Q74" s="73">
        <v>0</v>
      </c>
      <c r="R74" s="73">
        <f t="shared" si="12"/>
        <v>0</v>
      </c>
      <c r="S74" s="73">
        <v>0</v>
      </c>
      <c r="T74" s="74">
        <f t="shared" si="13"/>
        <v>0</v>
      </c>
      <c r="AR74" s="75" t="s">
        <v>363</v>
      </c>
      <c r="AT74" s="75" t="s">
        <v>883</v>
      </c>
      <c r="AU74" s="75" t="s">
        <v>63</v>
      </c>
      <c r="AY74" s="47" t="s">
        <v>881</v>
      </c>
      <c r="BE74" s="76">
        <f t="shared" si="14"/>
        <v>0</v>
      </c>
      <c r="BF74" s="76">
        <f t="shared" si="15"/>
        <v>0</v>
      </c>
      <c r="BG74" s="76">
        <f t="shared" si="16"/>
        <v>0</v>
      </c>
      <c r="BH74" s="76">
        <f t="shared" si="17"/>
        <v>0</v>
      </c>
      <c r="BI74" s="76">
        <f t="shared" si="18"/>
        <v>0</v>
      </c>
      <c r="BJ74" s="47" t="s">
        <v>51</v>
      </c>
      <c r="BK74" s="76">
        <f t="shared" si="19"/>
        <v>0</v>
      </c>
      <c r="BL74" s="47" t="s">
        <v>363</v>
      </c>
      <c r="BM74" s="75" t="s">
        <v>1975</v>
      </c>
    </row>
    <row r="75" spans="3:65" s="48" customFormat="1" ht="16.5" customHeight="1">
      <c r="C75" s="85" t="s">
        <v>290</v>
      </c>
      <c r="D75" s="85" t="s">
        <v>201</v>
      </c>
      <c r="E75" s="86" t="s">
        <v>1976</v>
      </c>
      <c r="F75" s="87" t="s">
        <v>2495</v>
      </c>
      <c r="G75" s="88" t="s">
        <v>260</v>
      </c>
      <c r="H75" s="89">
        <v>4</v>
      </c>
      <c r="I75" s="528"/>
      <c r="J75" s="90">
        <f t="shared" si="10"/>
        <v>0</v>
      </c>
      <c r="K75" s="522"/>
      <c r="L75" s="525" t="s">
        <v>2130</v>
      </c>
      <c r="M75" s="77" t="s">
        <v>854</v>
      </c>
      <c r="N75" s="78" t="s">
        <v>860</v>
      </c>
      <c r="O75" s="73">
        <v>0</v>
      </c>
      <c r="P75" s="73">
        <f t="shared" si="11"/>
        <v>0</v>
      </c>
      <c r="Q75" s="73">
        <v>0.014</v>
      </c>
      <c r="R75" s="73">
        <f t="shared" si="12"/>
        <v>0.056</v>
      </c>
      <c r="S75" s="73">
        <v>0</v>
      </c>
      <c r="T75" s="74">
        <f t="shared" si="13"/>
        <v>0</v>
      </c>
      <c r="AR75" s="75" t="s">
        <v>1470</v>
      </c>
      <c r="AT75" s="75" t="s">
        <v>201</v>
      </c>
      <c r="AU75" s="75" t="s">
        <v>63</v>
      </c>
      <c r="AY75" s="47" t="s">
        <v>881</v>
      </c>
      <c r="BE75" s="76">
        <f t="shared" si="14"/>
        <v>0</v>
      </c>
      <c r="BF75" s="76">
        <f t="shared" si="15"/>
        <v>0</v>
      </c>
      <c r="BG75" s="76">
        <f t="shared" si="16"/>
        <v>0</v>
      </c>
      <c r="BH75" s="76">
        <f t="shared" si="17"/>
        <v>0</v>
      </c>
      <c r="BI75" s="76">
        <f t="shared" si="18"/>
        <v>0</v>
      </c>
      <c r="BJ75" s="47" t="s">
        <v>51</v>
      </c>
      <c r="BK75" s="76">
        <f t="shared" si="19"/>
        <v>0</v>
      </c>
      <c r="BL75" s="47" t="s">
        <v>1470</v>
      </c>
      <c r="BM75" s="75" t="s">
        <v>1977</v>
      </c>
    </row>
    <row r="76" spans="3:65" s="48" customFormat="1" ht="21.75" customHeight="1">
      <c r="C76" s="79" t="s">
        <v>296</v>
      </c>
      <c r="D76" s="79" t="s">
        <v>883</v>
      </c>
      <c r="E76" s="80" t="s">
        <v>1880</v>
      </c>
      <c r="F76" s="81" t="s">
        <v>1881</v>
      </c>
      <c r="G76" s="82" t="s">
        <v>74</v>
      </c>
      <c r="H76" s="83">
        <v>21</v>
      </c>
      <c r="I76" s="527"/>
      <c r="J76" s="84">
        <f t="shared" si="10"/>
        <v>0</v>
      </c>
      <c r="K76" s="521"/>
      <c r="L76" s="525" t="s">
        <v>2474</v>
      </c>
      <c r="M76" s="71" t="s">
        <v>854</v>
      </c>
      <c r="N76" s="72" t="s">
        <v>860</v>
      </c>
      <c r="O76" s="73">
        <v>0.018</v>
      </c>
      <c r="P76" s="73">
        <f t="shared" si="11"/>
        <v>0.37799999999999995</v>
      </c>
      <c r="Q76" s="73">
        <v>0</v>
      </c>
      <c r="R76" s="73">
        <f t="shared" si="12"/>
        <v>0</v>
      </c>
      <c r="S76" s="73">
        <v>0</v>
      </c>
      <c r="T76" s="74">
        <f t="shared" si="13"/>
        <v>0</v>
      </c>
      <c r="AR76" s="75" t="s">
        <v>363</v>
      </c>
      <c r="AT76" s="75" t="s">
        <v>883</v>
      </c>
      <c r="AU76" s="75" t="s">
        <v>63</v>
      </c>
      <c r="AY76" s="47" t="s">
        <v>881</v>
      </c>
      <c r="BE76" s="76">
        <f t="shared" si="14"/>
        <v>0</v>
      </c>
      <c r="BF76" s="76">
        <f t="shared" si="15"/>
        <v>0</v>
      </c>
      <c r="BG76" s="76">
        <f t="shared" si="16"/>
        <v>0</v>
      </c>
      <c r="BH76" s="76">
        <f t="shared" si="17"/>
        <v>0</v>
      </c>
      <c r="BI76" s="76">
        <f t="shared" si="18"/>
        <v>0</v>
      </c>
      <c r="BJ76" s="47" t="s">
        <v>51</v>
      </c>
      <c r="BK76" s="76">
        <f t="shared" si="19"/>
        <v>0</v>
      </c>
      <c r="BL76" s="47" t="s">
        <v>363</v>
      </c>
      <c r="BM76" s="75" t="s">
        <v>1978</v>
      </c>
    </row>
    <row r="77" spans="3:65" s="48" customFormat="1" ht="21.75" customHeight="1">
      <c r="C77" s="79" t="s">
        <v>305</v>
      </c>
      <c r="D77" s="79" t="s">
        <v>883</v>
      </c>
      <c r="E77" s="80" t="s">
        <v>1883</v>
      </c>
      <c r="F77" s="81" t="s">
        <v>1884</v>
      </c>
      <c r="G77" s="82" t="s">
        <v>74</v>
      </c>
      <c r="H77" s="83">
        <v>429</v>
      </c>
      <c r="I77" s="527"/>
      <c r="J77" s="84">
        <f t="shared" si="10"/>
        <v>0</v>
      </c>
      <c r="K77" s="521"/>
      <c r="L77" s="525" t="s">
        <v>2474</v>
      </c>
      <c r="M77" s="71" t="s">
        <v>854</v>
      </c>
      <c r="N77" s="72" t="s">
        <v>860</v>
      </c>
      <c r="O77" s="73">
        <v>0.021</v>
      </c>
      <c r="P77" s="73">
        <f t="shared" si="11"/>
        <v>9.009</v>
      </c>
      <c r="Q77" s="73">
        <v>0</v>
      </c>
      <c r="R77" s="73">
        <f t="shared" si="12"/>
        <v>0</v>
      </c>
      <c r="S77" s="73">
        <v>0</v>
      </c>
      <c r="T77" s="74">
        <f t="shared" si="13"/>
        <v>0</v>
      </c>
      <c r="AR77" s="75" t="s">
        <v>363</v>
      </c>
      <c r="AT77" s="75" t="s">
        <v>883</v>
      </c>
      <c r="AU77" s="75" t="s">
        <v>63</v>
      </c>
      <c r="AY77" s="47" t="s">
        <v>881</v>
      </c>
      <c r="BE77" s="76">
        <f t="shared" si="14"/>
        <v>0</v>
      </c>
      <c r="BF77" s="76">
        <f t="shared" si="15"/>
        <v>0</v>
      </c>
      <c r="BG77" s="76">
        <f t="shared" si="16"/>
        <v>0</v>
      </c>
      <c r="BH77" s="76">
        <f t="shared" si="17"/>
        <v>0</v>
      </c>
      <c r="BI77" s="76">
        <f t="shared" si="18"/>
        <v>0</v>
      </c>
      <c r="BJ77" s="47" t="s">
        <v>51</v>
      </c>
      <c r="BK77" s="76">
        <f t="shared" si="19"/>
        <v>0</v>
      </c>
      <c r="BL77" s="47" t="s">
        <v>363</v>
      </c>
      <c r="BM77" s="75" t="s">
        <v>1979</v>
      </c>
    </row>
    <row r="78" spans="4:63" s="64" customFormat="1" ht="25.95" customHeight="1">
      <c r="D78" s="65" t="s">
        <v>877</v>
      </c>
      <c r="E78" s="203" t="s">
        <v>1170</v>
      </c>
      <c r="F78" s="203" t="s">
        <v>1171</v>
      </c>
      <c r="J78" s="204">
        <f>BK78</f>
        <v>0</v>
      </c>
      <c r="L78" s="69"/>
      <c r="M78" s="66"/>
      <c r="P78" s="67">
        <f>P79+P83</f>
        <v>0</v>
      </c>
      <c r="R78" s="67">
        <f>R79+R83</f>
        <v>0</v>
      </c>
      <c r="T78" s="68">
        <f>T79+T83</f>
        <v>0</v>
      </c>
      <c r="AR78" s="65" t="s">
        <v>78</v>
      </c>
      <c r="AT78" s="69" t="s">
        <v>877</v>
      </c>
      <c r="AU78" s="69" t="s">
        <v>880</v>
      </c>
      <c r="AY78" s="65" t="s">
        <v>881</v>
      </c>
      <c r="BK78" s="70">
        <f>BK79+BK83</f>
        <v>0</v>
      </c>
    </row>
    <row r="79" spans="4:63" s="64" customFormat="1" ht="22.95" customHeight="1">
      <c r="D79" s="65" t="s">
        <v>877</v>
      </c>
      <c r="E79" s="205" t="s">
        <v>1172</v>
      </c>
      <c r="F79" s="205" t="s">
        <v>1173</v>
      </c>
      <c r="J79" s="206">
        <f>BK79</f>
        <v>0</v>
      </c>
      <c r="L79" s="69"/>
      <c r="M79" s="66"/>
      <c r="P79" s="67">
        <f>SUM(P80:P82)</f>
        <v>0</v>
      </c>
      <c r="R79" s="67">
        <f>SUM(R80:R82)</f>
        <v>0</v>
      </c>
      <c r="T79" s="68">
        <f>SUM(T80:T82)</f>
        <v>0</v>
      </c>
      <c r="AR79" s="65" t="s">
        <v>78</v>
      </c>
      <c r="AT79" s="69" t="s">
        <v>877</v>
      </c>
      <c r="AU79" s="69" t="s">
        <v>51</v>
      </c>
      <c r="AY79" s="65" t="s">
        <v>881</v>
      </c>
      <c r="BK79" s="70">
        <f>SUM(BK80:BK82)</f>
        <v>0</v>
      </c>
    </row>
    <row r="80" spans="3:65" s="48" customFormat="1" ht="24.15" customHeight="1">
      <c r="C80" s="79" t="s">
        <v>232</v>
      </c>
      <c r="D80" s="79" t="s">
        <v>883</v>
      </c>
      <c r="E80" s="80" t="s">
        <v>1174</v>
      </c>
      <c r="F80" s="81" t="s">
        <v>1886</v>
      </c>
      <c r="G80" s="82" t="s">
        <v>1134</v>
      </c>
      <c r="H80" s="83">
        <v>1</v>
      </c>
      <c r="I80" s="527"/>
      <c r="J80" s="84">
        <f>ROUND(I80*H80,2)</f>
        <v>0</v>
      </c>
      <c r="K80" s="521"/>
      <c r="L80" s="525" t="s">
        <v>2474</v>
      </c>
      <c r="M80" s="71" t="s">
        <v>854</v>
      </c>
      <c r="N80" s="72" t="s">
        <v>860</v>
      </c>
      <c r="O80" s="73">
        <v>0</v>
      </c>
      <c r="P80" s="73">
        <f>O80*H80</f>
        <v>0</v>
      </c>
      <c r="Q80" s="73">
        <v>0</v>
      </c>
      <c r="R80" s="73">
        <f>Q80*H80</f>
        <v>0</v>
      </c>
      <c r="S80" s="73">
        <v>0</v>
      </c>
      <c r="T80" s="74">
        <f>S80*H80</f>
        <v>0</v>
      </c>
      <c r="AR80" s="75" t="s">
        <v>1176</v>
      </c>
      <c r="AT80" s="75" t="s">
        <v>883</v>
      </c>
      <c r="AU80" s="75" t="s">
        <v>63</v>
      </c>
      <c r="AY80" s="47" t="s">
        <v>881</v>
      </c>
      <c r="BE80" s="76">
        <f>IF(N80="základní",J80,0)</f>
        <v>0</v>
      </c>
      <c r="BF80" s="76">
        <f>IF(N80="snížená",J80,0)</f>
        <v>0</v>
      </c>
      <c r="BG80" s="76">
        <f>IF(N80="zákl. přenesená",J80,0)</f>
        <v>0</v>
      </c>
      <c r="BH80" s="76">
        <f>IF(N80="sníž. přenesená",J80,0)</f>
        <v>0</v>
      </c>
      <c r="BI80" s="76">
        <f>IF(N80="nulová",J80,0)</f>
        <v>0</v>
      </c>
      <c r="BJ80" s="47" t="s">
        <v>51</v>
      </c>
      <c r="BK80" s="76">
        <f>ROUND(I80*H80,2)</f>
        <v>0</v>
      </c>
      <c r="BL80" s="47" t="s">
        <v>1176</v>
      </c>
      <c r="BM80" s="75" t="s">
        <v>1980</v>
      </c>
    </row>
    <row r="81" spans="3:65" s="48" customFormat="1" ht="24.15" customHeight="1">
      <c r="C81" s="79" t="s">
        <v>315</v>
      </c>
      <c r="D81" s="79" t="s">
        <v>883</v>
      </c>
      <c r="E81" s="80" t="s">
        <v>1178</v>
      </c>
      <c r="F81" s="81" t="s">
        <v>2496</v>
      </c>
      <c r="G81" s="82" t="s">
        <v>1134</v>
      </c>
      <c r="H81" s="83">
        <v>1</v>
      </c>
      <c r="I81" s="527"/>
      <c r="J81" s="84">
        <f>ROUND(I81*H81,2)</f>
        <v>0</v>
      </c>
      <c r="K81" s="521"/>
      <c r="L81" s="525" t="s">
        <v>2474</v>
      </c>
      <c r="M81" s="71" t="s">
        <v>854</v>
      </c>
      <c r="N81" s="72" t="s">
        <v>860</v>
      </c>
      <c r="O81" s="73">
        <v>0</v>
      </c>
      <c r="P81" s="73">
        <f>O81*H81</f>
        <v>0</v>
      </c>
      <c r="Q81" s="73">
        <v>0</v>
      </c>
      <c r="R81" s="73">
        <f>Q81*H81</f>
        <v>0</v>
      </c>
      <c r="S81" s="73">
        <v>0</v>
      </c>
      <c r="T81" s="74">
        <f>S81*H81</f>
        <v>0</v>
      </c>
      <c r="AR81" s="75" t="s">
        <v>1176</v>
      </c>
      <c r="AT81" s="75" t="s">
        <v>883</v>
      </c>
      <c r="AU81" s="75" t="s">
        <v>63</v>
      </c>
      <c r="AY81" s="47" t="s">
        <v>881</v>
      </c>
      <c r="BE81" s="76">
        <f>IF(N81="základní",J81,0)</f>
        <v>0</v>
      </c>
      <c r="BF81" s="76">
        <f>IF(N81="snížená",J81,0)</f>
        <v>0</v>
      </c>
      <c r="BG81" s="76">
        <f>IF(N81="zákl. přenesená",J81,0)</f>
        <v>0</v>
      </c>
      <c r="BH81" s="76">
        <f>IF(N81="sníž. přenesená",J81,0)</f>
        <v>0</v>
      </c>
      <c r="BI81" s="76">
        <f>IF(N81="nulová",J81,0)</f>
        <v>0</v>
      </c>
      <c r="BJ81" s="47" t="s">
        <v>51</v>
      </c>
      <c r="BK81" s="76">
        <f>ROUND(I81*H81,2)</f>
        <v>0</v>
      </c>
      <c r="BL81" s="47" t="s">
        <v>1176</v>
      </c>
      <c r="BM81" s="75" t="s">
        <v>1981</v>
      </c>
    </row>
    <row r="82" spans="3:65" s="48" customFormat="1" ht="16.5" customHeight="1">
      <c r="C82" s="79" t="s">
        <v>319</v>
      </c>
      <c r="D82" s="79" t="s">
        <v>883</v>
      </c>
      <c r="E82" s="80" t="s">
        <v>1181</v>
      </c>
      <c r="F82" s="81" t="s">
        <v>1182</v>
      </c>
      <c r="G82" s="82" t="s">
        <v>1134</v>
      </c>
      <c r="H82" s="83">
        <v>1</v>
      </c>
      <c r="I82" s="527"/>
      <c r="J82" s="84">
        <f>ROUND(I82*H82,2)</f>
        <v>0</v>
      </c>
      <c r="K82" s="521"/>
      <c r="L82" s="525" t="s">
        <v>2474</v>
      </c>
      <c r="M82" s="71" t="s">
        <v>854</v>
      </c>
      <c r="N82" s="72" t="s">
        <v>860</v>
      </c>
      <c r="O82" s="73">
        <v>0</v>
      </c>
      <c r="P82" s="73">
        <f>O82*H82</f>
        <v>0</v>
      </c>
      <c r="Q82" s="73">
        <v>0</v>
      </c>
      <c r="R82" s="73">
        <f>Q82*H82</f>
        <v>0</v>
      </c>
      <c r="S82" s="73">
        <v>0</v>
      </c>
      <c r="T82" s="74">
        <f>S82*H82</f>
        <v>0</v>
      </c>
      <c r="AR82" s="75" t="s">
        <v>1176</v>
      </c>
      <c r="AT82" s="75" t="s">
        <v>883</v>
      </c>
      <c r="AU82" s="75" t="s">
        <v>63</v>
      </c>
      <c r="AY82" s="47" t="s">
        <v>881</v>
      </c>
      <c r="BE82" s="76">
        <f>IF(N82="základní",J82,0)</f>
        <v>0</v>
      </c>
      <c r="BF82" s="76">
        <f>IF(N82="snížená",J82,0)</f>
        <v>0</v>
      </c>
      <c r="BG82" s="76">
        <f>IF(N82="zákl. přenesená",J82,0)</f>
        <v>0</v>
      </c>
      <c r="BH82" s="76">
        <f>IF(N82="sníž. přenesená",J82,0)</f>
        <v>0</v>
      </c>
      <c r="BI82" s="76">
        <f>IF(N82="nulová",J82,0)</f>
        <v>0</v>
      </c>
      <c r="BJ82" s="47" t="s">
        <v>51</v>
      </c>
      <c r="BK82" s="76">
        <f>ROUND(I82*H82,2)</f>
        <v>0</v>
      </c>
      <c r="BL82" s="47" t="s">
        <v>1176</v>
      </c>
      <c r="BM82" s="75" t="s">
        <v>1982</v>
      </c>
    </row>
    <row r="83" spans="4:63" s="64" customFormat="1" ht="22.95" customHeight="1">
      <c r="D83" s="65" t="s">
        <v>877</v>
      </c>
      <c r="E83" s="205" t="s">
        <v>1184</v>
      </c>
      <c r="F83" s="205" t="s">
        <v>1185</v>
      </c>
      <c r="I83" s="529"/>
      <c r="J83" s="206">
        <f>BK83</f>
        <v>0</v>
      </c>
      <c r="L83" s="69"/>
      <c r="M83" s="66"/>
      <c r="P83" s="67">
        <f>SUM(P84:P85)</f>
        <v>0</v>
      </c>
      <c r="R83" s="67">
        <f>SUM(R84:R85)</f>
        <v>0</v>
      </c>
      <c r="T83" s="68">
        <f>SUM(T84:T85)</f>
        <v>0</v>
      </c>
      <c r="AR83" s="65" t="s">
        <v>78</v>
      </c>
      <c r="AT83" s="69" t="s">
        <v>877</v>
      </c>
      <c r="AU83" s="69" t="s">
        <v>51</v>
      </c>
      <c r="AY83" s="65" t="s">
        <v>881</v>
      </c>
      <c r="BK83" s="70">
        <f>SUM(BK84:BK85)</f>
        <v>0</v>
      </c>
    </row>
    <row r="84" spans="3:65" s="48" customFormat="1" ht="24.15" customHeight="1">
      <c r="C84" s="79" t="s">
        <v>322</v>
      </c>
      <c r="D84" s="79" t="s">
        <v>883</v>
      </c>
      <c r="E84" s="80" t="s">
        <v>1189</v>
      </c>
      <c r="F84" s="81" t="s">
        <v>1190</v>
      </c>
      <c r="G84" s="82" t="s">
        <v>1134</v>
      </c>
      <c r="H84" s="83">
        <v>1</v>
      </c>
      <c r="I84" s="527"/>
      <c r="J84" s="84">
        <f>ROUND(I84*H84,2)</f>
        <v>0</v>
      </c>
      <c r="K84" s="521"/>
      <c r="L84" s="525" t="s">
        <v>2474</v>
      </c>
      <c r="M84" s="71" t="s">
        <v>854</v>
      </c>
      <c r="N84" s="72" t="s">
        <v>860</v>
      </c>
      <c r="O84" s="73">
        <v>0</v>
      </c>
      <c r="P84" s="73">
        <f>O84*H84</f>
        <v>0</v>
      </c>
      <c r="Q84" s="73">
        <v>0</v>
      </c>
      <c r="R84" s="73">
        <f>Q84*H84</f>
        <v>0</v>
      </c>
      <c r="S84" s="73">
        <v>0</v>
      </c>
      <c r="T84" s="74">
        <f>S84*H84</f>
        <v>0</v>
      </c>
      <c r="AR84" s="75" t="s">
        <v>1176</v>
      </c>
      <c r="AT84" s="75" t="s">
        <v>883</v>
      </c>
      <c r="AU84" s="75" t="s">
        <v>63</v>
      </c>
      <c r="AY84" s="47" t="s">
        <v>881</v>
      </c>
      <c r="BE84" s="76">
        <f>IF(N84="základní",J84,0)</f>
        <v>0</v>
      </c>
      <c r="BF84" s="76">
        <f>IF(N84="snížená",J84,0)</f>
        <v>0</v>
      </c>
      <c r="BG84" s="76">
        <f>IF(N84="zákl. přenesená",J84,0)</f>
        <v>0</v>
      </c>
      <c r="BH84" s="76">
        <f>IF(N84="sníž. přenesená",J84,0)</f>
        <v>0</v>
      </c>
      <c r="BI84" s="76">
        <f>IF(N84="nulová",J84,0)</f>
        <v>0</v>
      </c>
      <c r="BJ84" s="47" t="s">
        <v>51</v>
      </c>
      <c r="BK84" s="76">
        <f>ROUND(I84*H84,2)</f>
        <v>0</v>
      </c>
      <c r="BL84" s="47" t="s">
        <v>1176</v>
      </c>
      <c r="BM84" s="75" t="s">
        <v>1983</v>
      </c>
    </row>
    <row r="85" spans="3:65" s="48" customFormat="1" ht="16.5" customHeight="1">
      <c r="C85" s="79" t="s">
        <v>325</v>
      </c>
      <c r="D85" s="79" t="s">
        <v>883</v>
      </c>
      <c r="E85" s="80" t="s">
        <v>1892</v>
      </c>
      <c r="F85" s="81" t="s">
        <v>1893</v>
      </c>
      <c r="G85" s="82" t="s">
        <v>1134</v>
      </c>
      <c r="H85" s="83">
        <v>1</v>
      </c>
      <c r="I85" s="527"/>
      <c r="J85" s="84">
        <f>ROUND(I85*H85,2)</f>
        <v>0</v>
      </c>
      <c r="K85" s="521"/>
      <c r="L85" s="525" t="s">
        <v>2474</v>
      </c>
      <c r="M85" s="91" t="s">
        <v>854</v>
      </c>
      <c r="N85" s="92" t="s">
        <v>860</v>
      </c>
      <c r="O85" s="93">
        <v>0</v>
      </c>
      <c r="P85" s="93">
        <f>O85*H85</f>
        <v>0</v>
      </c>
      <c r="Q85" s="93">
        <v>0</v>
      </c>
      <c r="R85" s="93">
        <f>Q85*H85</f>
        <v>0</v>
      </c>
      <c r="S85" s="93">
        <v>0</v>
      </c>
      <c r="T85" s="94">
        <f>S85*H85</f>
        <v>0</v>
      </c>
      <c r="AR85" s="75" t="s">
        <v>1176</v>
      </c>
      <c r="AT85" s="75" t="s">
        <v>883</v>
      </c>
      <c r="AU85" s="75" t="s">
        <v>63</v>
      </c>
      <c r="AY85" s="47" t="s">
        <v>881</v>
      </c>
      <c r="BE85" s="76">
        <f>IF(N85="základní",J85,0)</f>
        <v>0</v>
      </c>
      <c r="BF85" s="76">
        <f>IF(N85="snížená",J85,0)</f>
        <v>0</v>
      </c>
      <c r="BG85" s="76">
        <f>IF(N85="zákl. přenesená",J85,0)</f>
        <v>0</v>
      </c>
      <c r="BH85" s="76">
        <f>IF(N85="sníž. přenesená",J85,0)</f>
        <v>0</v>
      </c>
      <c r="BI85" s="76">
        <f>IF(N85="nulová",J85,0)</f>
        <v>0</v>
      </c>
      <c r="BJ85" s="47" t="s">
        <v>51</v>
      </c>
      <c r="BK85" s="76">
        <f>ROUND(I85*H85,2)</f>
        <v>0</v>
      </c>
      <c r="BL85" s="47" t="s">
        <v>1176</v>
      </c>
      <c r="BM85" s="75" t="s">
        <v>1984</v>
      </c>
    </row>
    <row r="86" spans="11:12" s="48" customFormat="1" ht="6.9" customHeight="1">
      <c r="K86" s="50"/>
      <c r="L86" s="524"/>
    </row>
  </sheetData>
  <sheetProtection algorithmName="SHA-512" hashValue="upwSpWiO3kzqIxyYUSbKfs0LmPJbnw7dBELkWPflTkcmtX8Ew7N2U63i9CSRSRCfKPkZeqrq5Taf6VpJh9rujA==" saltValue="Up06mIB6y4rYoH7ItatlUw==" spinCount="100000" sheet="1" objects="1" scenarios="1"/>
  <mergeCells count="2">
    <mergeCell ref="E6:H6"/>
    <mergeCell ref="E8:H8"/>
  </mergeCells>
  <printOptions/>
  <pageMargins left="0.7086614173228347" right="0.7086614173228347" top="0.7874015748031497" bottom="0.7874015748031497" header="0.31496062992125984" footer="0.31496062992125984"/>
  <pageSetup fitToHeight="100" fitToWidth="1" horizontalDpi="600" verticalDpi="600" orientation="portrait" paperSize="9" scale="75" r:id="rId1"/>
  <headerFooter>
    <oddFooter>&amp;CStrana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F9382-F22E-4AE1-BCAF-0C84184D2A18}">
  <dimension ref="A1:X172"/>
  <sheetViews>
    <sheetView view="pageBreakPreview" zoomScale="115" zoomScaleSheetLayoutView="115" workbookViewId="0" topLeftCell="A31">
      <selection activeCell="E24" sqref="E24:F24"/>
    </sheetView>
  </sheetViews>
  <sheetFormatPr defaultColWidth="9.140625" defaultRowHeight="15"/>
  <cols>
    <col min="1" max="1" width="4.8515625" style="0" customWidth="1"/>
    <col min="2" max="2" width="11.140625" style="0" customWidth="1"/>
    <col min="3" max="3" width="65.28125" style="0" customWidth="1"/>
    <col min="4" max="4" width="4.7109375" style="0" customWidth="1"/>
    <col min="5" max="5" width="9.00390625" style="0" customWidth="1"/>
    <col min="6" max="6" width="8.140625" style="0" customWidth="1"/>
    <col min="7" max="8" width="11.7109375" style="0" customWidth="1"/>
    <col min="9" max="9" width="8.00390625" style="0" customWidth="1"/>
    <col min="11" max="11" width="10.57421875" style="0" customWidth="1"/>
    <col min="13" max="13" width="32.140625" style="0" customWidth="1"/>
    <col min="14" max="14" width="19.28125" style="0" customWidth="1"/>
    <col min="15" max="15" width="6.8515625" style="0" customWidth="1"/>
    <col min="16" max="16" width="6.28125" style="0" customWidth="1"/>
    <col min="17" max="18" width="6.57421875" style="0" customWidth="1"/>
    <col min="19" max="19" width="5.7109375" style="0" customWidth="1"/>
    <col min="20" max="20" width="6.140625" style="0" customWidth="1"/>
    <col min="21" max="21" width="7.00390625" style="0" customWidth="1"/>
    <col min="22" max="22" width="7.28125" style="0" customWidth="1"/>
    <col min="23" max="23" width="8.28125" style="0" customWidth="1"/>
    <col min="24" max="24" width="10.28125" style="0" customWidth="1"/>
    <col min="257" max="257" width="4.8515625" style="0" customWidth="1"/>
    <col min="258" max="258" width="11.140625" style="0" customWidth="1"/>
    <col min="259" max="259" width="65.28125" style="0" customWidth="1"/>
    <col min="260" max="260" width="4.7109375" style="0" customWidth="1"/>
    <col min="261" max="261" width="9.00390625" style="0" customWidth="1"/>
    <col min="262" max="262" width="8.140625" style="0" customWidth="1"/>
    <col min="263" max="264" width="11.7109375" style="0" customWidth="1"/>
    <col min="265" max="265" width="8.00390625" style="0" customWidth="1"/>
    <col min="267" max="267" width="1.28515625" style="0" customWidth="1"/>
    <col min="269" max="269" width="32.140625" style="0" customWidth="1"/>
    <col min="270" max="270" width="19.28125" style="0" customWidth="1"/>
    <col min="271" max="271" width="6.8515625" style="0" customWidth="1"/>
    <col min="272" max="272" width="6.28125" style="0" customWidth="1"/>
    <col min="273" max="274" width="6.57421875" style="0" customWidth="1"/>
    <col min="275" max="275" width="5.7109375" style="0" customWidth="1"/>
    <col min="276" max="276" width="6.140625" style="0" customWidth="1"/>
    <col min="277" max="277" width="7.00390625" style="0" customWidth="1"/>
    <col min="278" max="278" width="7.28125" style="0" customWidth="1"/>
    <col min="279" max="279" width="8.28125" style="0" customWidth="1"/>
    <col min="280" max="280" width="10.28125" style="0" customWidth="1"/>
    <col min="513" max="513" width="4.8515625" style="0" customWidth="1"/>
    <col min="514" max="514" width="11.140625" style="0" customWidth="1"/>
    <col min="515" max="515" width="65.28125" style="0" customWidth="1"/>
    <col min="516" max="516" width="4.7109375" style="0" customWidth="1"/>
    <col min="517" max="517" width="9.00390625" style="0" customWidth="1"/>
    <col min="518" max="518" width="8.140625" style="0" customWidth="1"/>
    <col min="519" max="520" width="11.7109375" style="0" customWidth="1"/>
    <col min="521" max="521" width="8.00390625" style="0" customWidth="1"/>
    <col min="523" max="523" width="1.28515625" style="0" customWidth="1"/>
    <col min="525" max="525" width="32.140625" style="0" customWidth="1"/>
    <col min="526" max="526" width="19.28125" style="0" customWidth="1"/>
    <col min="527" max="527" width="6.8515625" style="0" customWidth="1"/>
    <col min="528" max="528" width="6.28125" style="0" customWidth="1"/>
    <col min="529" max="530" width="6.57421875" style="0" customWidth="1"/>
    <col min="531" max="531" width="5.7109375" style="0" customWidth="1"/>
    <col min="532" max="532" width="6.140625" style="0" customWidth="1"/>
    <col min="533" max="533" width="7.00390625" style="0" customWidth="1"/>
    <col min="534" max="534" width="7.28125" style="0" customWidth="1"/>
    <col min="535" max="535" width="8.28125" style="0" customWidth="1"/>
    <col min="536" max="536" width="10.28125" style="0" customWidth="1"/>
    <col min="769" max="769" width="4.8515625" style="0" customWidth="1"/>
    <col min="770" max="770" width="11.140625" style="0" customWidth="1"/>
    <col min="771" max="771" width="65.28125" style="0" customWidth="1"/>
    <col min="772" max="772" width="4.7109375" style="0" customWidth="1"/>
    <col min="773" max="773" width="9.00390625" style="0" customWidth="1"/>
    <col min="774" max="774" width="8.140625" style="0" customWidth="1"/>
    <col min="775" max="776" width="11.7109375" style="0" customWidth="1"/>
    <col min="777" max="777" width="8.00390625" style="0" customWidth="1"/>
    <col min="779" max="779" width="1.28515625" style="0" customWidth="1"/>
    <col min="781" max="781" width="32.140625" style="0" customWidth="1"/>
    <col min="782" max="782" width="19.28125" style="0" customWidth="1"/>
    <col min="783" max="783" width="6.8515625" style="0" customWidth="1"/>
    <col min="784" max="784" width="6.28125" style="0" customWidth="1"/>
    <col min="785" max="786" width="6.57421875" style="0" customWidth="1"/>
    <col min="787" max="787" width="5.7109375" style="0" customWidth="1"/>
    <col min="788" max="788" width="6.140625" style="0" customWidth="1"/>
    <col min="789" max="789" width="7.00390625" style="0" customWidth="1"/>
    <col min="790" max="790" width="7.28125" style="0" customWidth="1"/>
    <col min="791" max="791" width="8.28125" style="0" customWidth="1"/>
    <col min="792" max="792" width="10.28125" style="0" customWidth="1"/>
    <col min="1025" max="1025" width="4.8515625" style="0" customWidth="1"/>
    <col min="1026" max="1026" width="11.140625" style="0" customWidth="1"/>
    <col min="1027" max="1027" width="65.28125" style="0" customWidth="1"/>
    <col min="1028" max="1028" width="4.7109375" style="0" customWidth="1"/>
    <col min="1029" max="1029" width="9.00390625" style="0" customWidth="1"/>
    <col min="1030" max="1030" width="8.140625" style="0" customWidth="1"/>
    <col min="1031" max="1032" width="11.7109375" style="0" customWidth="1"/>
    <col min="1033" max="1033" width="8.00390625" style="0" customWidth="1"/>
    <col min="1035" max="1035" width="1.28515625" style="0" customWidth="1"/>
    <col min="1037" max="1037" width="32.140625" style="0" customWidth="1"/>
    <col min="1038" max="1038" width="19.28125" style="0" customWidth="1"/>
    <col min="1039" max="1039" width="6.8515625" style="0" customWidth="1"/>
    <col min="1040" max="1040" width="6.28125" style="0" customWidth="1"/>
    <col min="1041" max="1042" width="6.57421875" style="0" customWidth="1"/>
    <col min="1043" max="1043" width="5.7109375" style="0" customWidth="1"/>
    <col min="1044" max="1044" width="6.140625" style="0" customWidth="1"/>
    <col min="1045" max="1045" width="7.00390625" style="0" customWidth="1"/>
    <col min="1046" max="1046" width="7.28125" style="0" customWidth="1"/>
    <col min="1047" max="1047" width="8.28125" style="0" customWidth="1"/>
    <col min="1048" max="1048" width="10.28125" style="0" customWidth="1"/>
    <col min="1281" max="1281" width="4.8515625" style="0" customWidth="1"/>
    <col min="1282" max="1282" width="11.140625" style="0" customWidth="1"/>
    <col min="1283" max="1283" width="65.28125" style="0" customWidth="1"/>
    <col min="1284" max="1284" width="4.7109375" style="0" customWidth="1"/>
    <col min="1285" max="1285" width="9.00390625" style="0" customWidth="1"/>
    <col min="1286" max="1286" width="8.140625" style="0" customWidth="1"/>
    <col min="1287" max="1288" width="11.7109375" style="0" customWidth="1"/>
    <col min="1289" max="1289" width="8.00390625" style="0" customWidth="1"/>
    <col min="1291" max="1291" width="1.28515625" style="0" customWidth="1"/>
    <col min="1293" max="1293" width="32.140625" style="0" customWidth="1"/>
    <col min="1294" max="1294" width="19.28125" style="0" customWidth="1"/>
    <col min="1295" max="1295" width="6.8515625" style="0" customWidth="1"/>
    <col min="1296" max="1296" width="6.28125" style="0" customWidth="1"/>
    <col min="1297" max="1298" width="6.57421875" style="0" customWidth="1"/>
    <col min="1299" max="1299" width="5.7109375" style="0" customWidth="1"/>
    <col min="1300" max="1300" width="6.140625" style="0" customWidth="1"/>
    <col min="1301" max="1301" width="7.00390625" style="0" customWidth="1"/>
    <col min="1302" max="1302" width="7.28125" style="0" customWidth="1"/>
    <col min="1303" max="1303" width="8.28125" style="0" customWidth="1"/>
    <col min="1304" max="1304" width="10.28125" style="0" customWidth="1"/>
    <col min="1537" max="1537" width="4.8515625" style="0" customWidth="1"/>
    <col min="1538" max="1538" width="11.140625" style="0" customWidth="1"/>
    <col min="1539" max="1539" width="65.28125" style="0" customWidth="1"/>
    <col min="1540" max="1540" width="4.7109375" style="0" customWidth="1"/>
    <col min="1541" max="1541" width="9.00390625" style="0" customWidth="1"/>
    <col min="1542" max="1542" width="8.140625" style="0" customWidth="1"/>
    <col min="1543" max="1544" width="11.7109375" style="0" customWidth="1"/>
    <col min="1545" max="1545" width="8.00390625" style="0" customWidth="1"/>
    <col min="1547" max="1547" width="1.28515625" style="0" customWidth="1"/>
    <col min="1549" max="1549" width="32.140625" style="0" customWidth="1"/>
    <col min="1550" max="1550" width="19.28125" style="0" customWidth="1"/>
    <col min="1551" max="1551" width="6.8515625" style="0" customWidth="1"/>
    <col min="1552" max="1552" width="6.28125" style="0" customWidth="1"/>
    <col min="1553" max="1554" width="6.57421875" style="0" customWidth="1"/>
    <col min="1555" max="1555" width="5.7109375" style="0" customWidth="1"/>
    <col min="1556" max="1556" width="6.140625" style="0" customWidth="1"/>
    <col min="1557" max="1557" width="7.00390625" style="0" customWidth="1"/>
    <col min="1558" max="1558" width="7.28125" style="0" customWidth="1"/>
    <col min="1559" max="1559" width="8.28125" style="0" customWidth="1"/>
    <col min="1560" max="1560" width="10.28125" style="0" customWidth="1"/>
    <col min="1793" max="1793" width="4.8515625" style="0" customWidth="1"/>
    <col min="1794" max="1794" width="11.140625" style="0" customWidth="1"/>
    <col min="1795" max="1795" width="65.28125" style="0" customWidth="1"/>
    <col min="1796" max="1796" width="4.7109375" style="0" customWidth="1"/>
    <col min="1797" max="1797" width="9.00390625" style="0" customWidth="1"/>
    <col min="1798" max="1798" width="8.140625" style="0" customWidth="1"/>
    <col min="1799" max="1800" width="11.7109375" style="0" customWidth="1"/>
    <col min="1801" max="1801" width="8.00390625" style="0" customWidth="1"/>
    <col min="1803" max="1803" width="1.28515625" style="0" customWidth="1"/>
    <col min="1805" max="1805" width="32.140625" style="0" customWidth="1"/>
    <col min="1806" max="1806" width="19.28125" style="0" customWidth="1"/>
    <col min="1807" max="1807" width="6.8515625" style="0" customWidth="1"/>
    <col min="1808" max="1808" width="6.28125" style="0" customWidth="1"/>
    <col min="1809" max="1810" width="6.57421875" style="0" customWidth="1"/>
    <col min="1811" max="1811" width="5.7109375" style="0" customWidth="1"/>
    <col min="1812" max="1812" width="6.140625" style="0" customWidth="1"/>
    <col min="1813" max="1813" width="7.00390625" style="0" customWidth="1"/>
    <col min="1814" max="1814" width="7.28125" style="0" customWidth="1"/>
    <col min="1815" max="1815" width="8.28125" style="0" customWidth="1"/>
    <col min="1816" max="1816" width="10.28125" style="0" customWidth="1"/>
    <col min="2049" max="2049" width="4.8515625" style="0" customWidth="1"/>
    <col min="2050" max="2050" width="11.140625" style="0" customWidth="1"/>
    <col min="2051" max="2051" width="65.28125" style="0" customWidth="1"/>
    <col min="2052" max="2052" width="4.7109375" style="0" customWidth="1"/>
    <col min="2053" max="2053" width="9.00390625" style="0" customWidth="1"/>
    <col min="2054" max="2054" width="8.140625" style="0" customWidth="1"/>
    <col min="2055" max="2056" width="11.7109375" style="0" customWidth="1"/>
    <col min="2057" max="2057" width="8.00390625" style="0" customWidth="1"/>
    <col min="2059" max="2059" width="1.28515625" style="0" customWidth="1"/>
    <col min="2061" max="2061" width="32.140625" style="0" customWidth="1"/>
    <col min="2062" max="2062" width="19.28125" style="0" customWidth="1"/>
    <col min="2063" max="2063" width="6.8515625" style="0" customWidth="1"/>
    <col min="2064" max="2064" width="6.28125" style="0" customWidth="1"/>
    <col min="2065" max="2066" width="6.57421875" style="0" customWidth="1"/>
    <col min="2067" max="2067" width="5.7109375" style="0" customWidth="1"/>
    <col min="2068" max="2068" width="6.140625" style="0" customWidth="1"/>
    <col min="2069" max="2069" width="7.00390625" style="0" customWidth="1"/>
    <col min="2070" max="2070" width="7.28125" style="0" customWidth="1"/>
    <col min="2071" max="2071" width="8.28125" style="0" customWidth="1"/>
    <col min="2072" max="2072" width="10.28125" style="0" customWidth="1"/>
    <col min="2305" max="2305" width="4.8515625" style="0" customWidth="1"/>
    <col min="2306" max="2306" width="11.140625" style="0" customWidth="1"/>
    <col min="2307" max="2307" width="65.28125" style="0" customWidth="1"/>
    <col min="2308" max="2308" width="4.7109375" style="0" customWidth="1"/>
    <col min="2309" max="2309" width="9.00390625" style="0" customWidth="1"/>
    <col min="2310" max="2310" width="8.140625" style="0" customWidth="1"/>
    <col min="2311" max="2312" width="11.7109375" style="0" customWidth="1"/>
    <col min="2313" max="2313" width="8.00390625" style="0" customWidth="1"/>
    <col min="2315" max="2315" width="1.28515625" style="0" customWidth="1"/>
    <col min="2317" max="2317" width="32.140625" style="0" customWidth="1"/>
    <col min="2318" max="2318" width="19.28125" style="0" customWidth="1"/>
    <col min="2319" max="2319" width="6.8515625" style="0" customWidth="1"/>
    <col min="2320" max="2320" width="6.28125" style="0" customWidth="1"/>
    <col min="2321" max="2322" width="6.57421875" style="0" customWidth="1"/>
    <col min="2323" max="2323" width="5.7109375" style="0" customWidth="1"/>
    <col min="2324" max="2324" width="6.140625" style="0" customWidth="1"/>
    <col min="2325" max="2325" width="7.00390625" style="0" customWidth="1"/>
    <col min="2326" max="2326" width="7.28125" style="0" customWidth="1"/>
    <col min="2327" max="2327" width="8.28125" style="0" customWidth="1"/>
    <col min="2328" max="2328" width="10.28125" style="0" customWidth="1"/>
    <col min="2561" max="2561" width="4.8515625" style="0" customWidth="1"/>
    <col min="2562" max="2562" width="11.140625" style="0" customWidth="1"/>
    <col min="2563" max="2563" width="65.28125" style="0" customWidth="1"/>
    <col min="2564" max="2564" width="4.7109375" style="0" customWidth="1"/>
    <col min="2565" max="2565" width="9.00390625" style="0" customWidth="1"/>
    <col min="2566" max="2566" width="8.140625" style="0" customWidth="1"/>
    <col min="2567" max="2568" width="11.7109375" style="0" customWidth="1"/>
    <col min="2569" max="2569" width="8.00390625" style="0" customWidth="1"/>
    <col min="2571" max="2571" width="1.28515625" style="0" customWidth="1"/>
    <col min="2573" max="2573" width="32.140625" style="0" customWidth="1"/>
    <col min="2574" max="2574" width="19.28125" style="0" customWidth="1"/>
    <col min="2575" max="2575" width="6.8515625" style="0" customWidth="1"/>
    <col min="2576" max="2576" width="6.28125" style="0" customWidth="1"/>
    <col min="2577" max="2578" width="6.57421875" style="0" customWidth="1"/>
    <col min="2579" max="2579" width="5.7109375" style="0" customWidth="1"/>
    <col min="2580" max="2580" width="6.140625" style="0" customWidth="1"/>
    <col min="2581" max="2581" width="7.00390625" style="0" customWidth="1"/>
    <col min="2582" max="2582" width="7.28125" style="0" customWidth="1"/>
    <col min="2583" max="2583" width="8.28125" style="0" customWidth="1"/>
    <col min="2584" max="2584" width="10.28125" style="0" customWidth="1"/>
    <col min="2817" max="2817" width="4.8515625" style="0" customWidth="1"/>
    <col min="2818" max="2818" width="11.140625" style="0" customWidth="1"/>
    <col min="2819" max="2819" width="65.28125" style="0" customWidth="1"/>
    <col min="2820" max="2820" width="4.7109375" style="0" customWidth="1"/>
    <col min="2821" max="2821" width="9.00390625" style="0" customWidth="1"/>
    <col min="2822" max="2822" width="8.140625" style="0" customWidth="1"/>
    <col min="2823" max="2824" width="11.7109375" style="0" customWidth="1"/>
    <col min="2825" max="2825" width="8.00390625" style="0" customWidth="1"/>
    <col min="2827" max="2827" width="1.28515625" style="0" customWidth="1"/>
    <col min="2829" max="2829" width="32.140625" style="0" customWidth="1"/>
    <col min="2830" max="2830" width="19.28125" style="0" customWidth="1"/>
    <col min="2831" max="2831" width="6.8515625" style="0" customWidth="1"/>
    <col min="2832" max="2832" width="6.28125" style="0" customWidth="1"/>
    <col min="2833" max="2834" width="6.57421875" style="0" customWidth="1"/>
    <col min="2835" max="2835" width="5.7109375" style="0" customWidth="1"/>
    <col min="2836" max="2836" width="6.140625" style="0" customWidth="1"/>
    <col min="2837" max="2837" width="7.00390625" style="0" customWidth="1"/>
    <col min="2838" max="2838" width="7.28125" style="0" customWidth="1"/>
    <col min="2839" max="2839" width="8.28125" style="0" customWidth="1"/>
    <col min="2840" max="2840" width="10.28125" style="0" customWidth="1"/>
    <col min="3073" max="3073" width="4.8515625" style="0" customWidth="1"/>
    <col min="3074" max="3074" width="11.140625" style="0" customWidth="1"/>
    <col min="3075" max="3075" width="65.28125" style="0" customWidth="1"/>
    <col min="3076" max="3076" width="4.7109375" style="0" customWidth="1"/>
    <col min="3077" max="3077" width="9.00390625" style="0" customWidth="1"/>
    <col min="3078" max="3078" width="8.140625" style="0" customWidth="1"/>
    <col min="3079" max="3080" width="11.7109375" style="0" customWidth="1"/>
    <col min="3081" max="3081" width="8.00390625" style="0" customWidth="1"/>
    <col min="3083" max="3083" width="1.28515625" style="0" customWidth="1"/>
    <col min="3085" max="3085" width="32.140625" style="0" customWidth="1"/>
    <col min="3086" max="3086" width="19.28125" style="0" customWidth="1"/>
    <col min="3087" max="3087" width="6.8515625" style="0" customWidth="1"/>
    <col min="3088" max="3088" width="6.28125" style="0" customWidth="1"/>
    <col min="3089" max="3090" width="6.57421875" style="0" customWidth="1"/>
    <col min="3091" max="3091" width="5.7109375" style="0" customWidth="1"/>
    <col min="3092" max="3092" width="6.140625" style="0" customWidth="1"/>
    <col min="3093" max="3093" width="7.00390625" style="0" customWidth="1"/>
    <col min="3094" max="3094" width="7.28125" style="0" customWidth="1"/>
    <col min="3095" max="3095" width="8.28125" style="0" customWidth="1"/>
    <col min="3096" max="3096" width="10.28125" style="0" customWidth="1"/>
    <col min="3329" max="3329" width="4.8515625" style="0" customWidth="1"/>
    <col min="3330" max="3330" width="11.140625" style="0" customWidth="1"/>
    <col min="3331" max="3331" width="65.28125" style="0" customWidth="1"/>
    <col min="3332" max="3332" width="4.7109375" style="0" customWidth="1"/>
    <col min="3333" max="3333" width="9.00390625" style="0" customWidth="1"/>
    <col min="3334" max="3334" width="8.140625" style="0" customWidth="1"/>
    <col min="3335" max="3336" width="11.7109375" style="0" customWidth="1"/>
    <col min="3337" max="3337" width="8.00390625" style="0" customWidth="1"/>
    <col min="3339" max="3339" width="1.28515625" style="0" customWidth="1"/>
    <col min="3341" max="3341" width="32.140625" style="0" customWidth="1"/>
    <col min="3342" max="3342" width="19.28125" style="0" customWidth="1"/>
    <col min="3343" max="3343" width="6.8515625" style="0" customWidth="1"/>
    <col min="3344" max="3344" width="6.28125" style="0" customWidth="1"/>
    <col min="3345" max="3346" width="6.57421875" style="0" customWidth="1"/>
    <col min="3347" max="3347" width="5.7109375" style="0" customWidth="1"/>
    <col min="3348" max="3348" width="6.140625" style="0" customWidth="1"/>
    <col min="3349" max="3349" width="7.00390625" style="0" customWidth="1"/>
    <col min="3350" max="3350" width="7.28125" style="0" customWidth="1"/>
    <col min="3351" max="3351" width="8.28125" style="0" customWidth="1"/>
    <col min="3352" max="3352" width="10.28125" style="0" customWidth="1"/>
    <col min="3585" max="3585" width="4.8515625" style="0" customWidth="1"/>
    <col min="3586" max="3586" width="11.140625" style="0" customWidth="1"/>
    <col min="3587" max="3587" width="65.28125" style="0" customWidth="1"/>
    <col min="3588" max="3588" width="4.7109375" style="0" customWidth="1"/>
    <col min="3589" max="3589" width="9.00390625" style="0" customWidth="1"/>
    <col min="3590" max="3590" width="8.140625" style="0" customWidth="1"/>
    <col min="3591" max="3592" width="11.7109375" style="0" customWidth="1"/>
    <col min="3593" max="3593" width="8.00390625" style="0" customWidth="1"/>
    <col min="3595" max="3595" width="1.28515625" style="0" customWidth="1"/>
    <col min="3597" max="3597" width="32.140625" style="0" customWidth="1"/>
    <col min="3598" max="3598" width="19.28125" style="0" customWidth="1"/>
    <col min="3599" max="3599" width="6.8515625" style="0" customWidth="1"/>
    <col min="3600" max="3600" width="6.28125" style="0" customWidth="1"/>
    <col min="3601" max="3602" width="6.57421875" style="0" customWidth="1"/>
    <col min="3603" max="3603" width="5.7109375" style="0" customWidth="1"/>
    <col min="3604" max="3604" width="6.140625" style="0" customWidth="1"/>
    <col min="3605" max="3605" width="7.00390625" style="0" customWidth="1"/>
    <col min="3606" max="3606" width="7.28125" style="0" customWidth="1"/>
    <col min="3607" max="3607" width="8.28125" style="0" customWidth="1"/>
    <col min="3608" max="3608" width="10.28125" style="0" customWidth="1"/>
    <col min="3841" max="3841" width="4.8515625" style="0" customWidth="1"/>
    <col min="3842" max="3842" width="11.140625" style="0" customWidth="1"/>
    <col min="3843" max="3843" width="65.28125" style="0" customWidth="1"/>
    <col min="3844" max="3844" width="4.7109375" style="0" customWidth="1"/>
    <col min="3845" max="3845" width="9.00390625" style="0" customWidth="1"/>
    <col min="3846" max="3846" width="8.140625" style="0" customWidth="1"/>
    <col min="3847" max="3848" width="11.7109375" style="0" customWidth="1"/>
    <col min="3849" max="3849" width="8.00390625" style="0" customWidth="1"/>
    <col min="3851" max="3851" width="1.28515625" style="0" customWidth="1"/>
    <col min="3853" max="3853" width="32.140625" style="0" customWidth="1"/>
    <col min="3854" max="3854" width="19.28125" style="0" customWidth="1"/>
    <col min="3855" max="3855" width="6.8515625" style="0" customWidth="1"/>
    <col min="3856" max="3856" width="6.28125" style="0" customWidth="1"/>
    <col min="3857" max="3858" width="6.57421875" style="0" customWidth="1"/>
    <col min="3859" max="3859" width="5.7109375" style="0" customWidth="1"/>
    <col min="3860" max="3860" width="6.140625" style="0" customWidth="1"/>
    <col min="3861" max="3861" width="7.00390625" style="0" customWidth="1"/>
    <col min="3862" max="3862" width="7.28125" style="0" customWidth="1"/>
    <col min="3863" max="3863" width="8.28125" style="0" customWidth="1"/>
    <col min="3864" max="3864" width="10.28125" style="0" customWidth="1"/>
    <col min="4097" max="4097" width="4.8515625" style="0" customWidth="1"/>
    <col min="4098" max="4098" width="11.140625" style="0" customWidth="1"/>
    <col min="4099" max="4099" width="65.28125" style="0" customWidth="1"/>
    <col min="4100" max="4100" width="4.7109375" style="0" customWidth="1"/>
    <col min="4101" max="4101" width="9.00390625" style="0" customWidth="1"/>
    <col min="4102" max="4102" width="8.140625" style="0" customWidth="1"/>
    <col min="4103" max="4104" width="11.7109375" style="0" customWidth="1"/>
    <col min="4105" max="4105" width="8.00390625" style="0" customWidth="1"/>
    <col min="4107" max="4107" width="1.28515625" style="0" customWidth="1"/>
    <col min="4109" max="4109" width="32.140625" style="0" customWidth="1"/>
    <col min="4110" max="4110" width="19.28125" style="0" customWidth="1"/>
    <col min="4111" max="4111" width="6.8515625" style="0" customWidth="1"/>
    <col min="4112" max="4112" width="6.28125" style="0" customWidth="1"/>
    <col min="4113" max="4114" width="6.57421875" style="0" customWidth="1"/>
    <col min="4115" max="4115" width="5.7109375" style="0" customWidth="1"/>
    <col min="4116" max="4116" width="6.140625" style="0" customWidth="1"/>
    <col min="4117" max="4117" width="7.00390625" style="0" customWidth="1"/>
    <col min="4118" max="4118" width="7.28125" style="0" customWidth="1"/>
    <col min="4119" max="4119" width="8.28125" style="0" customWidth="1"/>
    <col min="4120" max="4120" width="10.28125" style="0" customWidth="1"/>
    <col min="4353" max="4353" width="4.8515625" style="0" customWidth="1"/>
    <col min="4354" max="4354" width="11.140625" style="0" customWidth="1"/>
    <col min="4355" max="4355" width="65.28125" style="0" customWidth="1"/>
    <col min="4356" max="4356" width="4.7109375" style="0" customWidth="1"/>
    <col min="4357" max="4357" width="9.00390625" style="0" customWidth="1"/>
    <col min="4358" max="4358" width="8.140625" style="0" customWidth="1"/>
    <col min="4359" max="4360" width="11.7109375" style="0" customWidth="1"/>
    <col min="4361" max="4361" width="8.00390625" style="0" customWidth="1"/>
    <col min="4363" max="4363" width="1.28515625" style="0" customWidth="1"/>
    <col min="4365" max="4365" width="32.140625" style="0" customWidth="1"/>
    <col min="4366" max="4366" width="19.28125" style="0" customWidth="1"/>
    <col min="4367" max="4367" width="6.8515625" style="0" customWidth="1"/>
    <col min="4368" max="4368" width="6.28125" style="0" customWidth="1"/>
    <col min="4369" max="4370" width="6.57421875" style="0" customWidth="1"/>
    <col min="4371" max="4371" width="5.7109375" style="0" customWidth="1"/>
    <col min="4372" max="4372" width="6.140625" style="0" customWidth="1"/>
    <col min="4373" max="4373" width="7.00390625" style="0" customWidth="1"/>
    <col min="4374" max="4374" width="7.28125" style="0" customWidth="1"/>
    <col min="4375" max="4375" width="8.28125" style="0" customWidth="1"/>
    <col min="4376" max="4376" width="10.28125" style="0" customWidth="1"/>
    <col min="4609" max="4609" width="4.8515625" style="0" customWidth="1"/>
    <col min="4610" max="4610" width="11.140625" style="0" customWidth="1"/>
    <col min="4611" max="4611" width="65.28125" style="0" customWidth="1"/>
    <col min="4612" max="4612" width="4.7109375" style="0" customWidth="1"/>
    <col min="4613" max="4613" width="9.00390625" style="0" customWidth="1"/>
    <col min="4614" max="4614" width="8.140625" style="0" customWidth="1"/>
    <col min="4615" max="4616" width="11.7109375" style="0" customWidth="1"/>
    <col min="4617" max="4617" width="8.00390625" style="0" customWidth="1"/>
    <col min="4619" max="4619" width="1.28515625" style="0" customWidth="1"/>
    <col min="4621" max="4621" width="32.140625" style="0" customWidth="1"/>
    <col min="4622" max="4622" width="19.28125" style="0" customWidth="1"/>
    <col min="4623" max="4623" width="6.8515625" style="0" customWidth="1"/>
    <col min="4624" max="4624" width="6.28125" style="0" customWidth="1"/>
    <col min="4625" max="4626" width="6.57421875" style="0" customWidth="1"/>
    <col min="4627" max="4627" width="5.7109375" style="0" customWidth="1"/>
    <col min="4628" max="4628" width="6.140625" style="0" customWidth="1"/>
    <col min="4629" max="4629" width="7.00390625" style="0" customWidth="1"/>
    <col min="4630" max="4630" width="7.28125" style="0" customWidth="1"/>
    <col min="4631" max="4631" width="8.28125" style="0" customWidth="1"/>
    <col min="4632" max="4632" width="10.28125" style="0" customWidth="1"/>
    <col min="4865" max="4865" width="4.8515625" style="0" customWidth="1"/>
    <col min="4866" max="4866" width="11.140625" style="0" customWidth="1"/>
    <col min="4867" max="4867" width="65.28125" style="0" customWidth="1"/>
    <col min="4868" max="4868" width="4.7109375" style="0" customWidth="1"/>
    <col min="4869" max="4869" width="9.00390625" style="0" customWidth="1"/>
    <col min="4870" max="4870" width="8.140625" style="0" customWidth="1"/>
    <col min="4871" max="4872" width="11.7109375" style="0" customWidth="1"/>
    <col min="4873" max="4873" width="8.00390625" style="0" customWidth="1"/>
    <col min="4875" max="4875" width="1.28515625" style="0" customWidth="1"/>
    <col min="4877" max="4877" width="32.140625" style="0" customWidth="1"/>
    <col min="4878" max="4878" width="19.28125" style="0" customWidth="1"/>
    <col min="4879" max="4879" width="6.8515625" style="0" customWidth="1"/>
    <col min="4880" max="4880" width="6.28125" style="0" customWidth="1"/>
    <col min="4881" max="4882" width="6.57421875" style="0" customWidth="1"/>
    <col min="4883" max="4883" width="5.7109375" style="0" customWidth="1"/>
    <col min="4884" max="4884" width="6.140625" style="0" customWidth="1"/>
    <col min="4885" max="4885" width="7.00390625" style="0" customWidth="1"/>
    <col min="4886" max="4886" width="7.28125" style="0" customWidth="1"/>
    <col min="4887" max="4887" width="8.28125" style="0" customWidth="1"/>
    <col min="4888" max="4888" width="10.28125" style="0" customWidth="1"/>
    <col min="5121" max="5121" width="4.8515625" style="0" customWidth="1"/>
    <col min="5122" max="5122" width="11.140625" style="0" customWidth="1"/>
    <col min="5123" max="5123" width="65.28125" style="0" customWidth="1"/>
    <col min="5124" max="5124" width="4.7109375" style="0" customWidth="1"/>
    <col min="5125" max="5125" width="9.00390625" style="0" customWidth="1"/>
    <col min="5126" max="5126" width="8.140625" style="0" customWidth="1"/>
    <col min="5127" max="5128" width="11.7109375" style="0" customWidth="1"/>
    <col min="5129" max="5129" width="8.00390625" style="0" customWidth="1"/>
    <col min="5131" max="5131" width="1.28515625" style="0" customWidth="1"/>
    <col min="5133" max="5133" width="32.140625" style="0" customWidth="1"/>
    <col min="5134" max="5134" width="19.28125" style="0" customWidth="1"/>
    <col min="5135" max="5135" width="6.8515625" style="0" customWidth="1"/>
    <col min="5136" max="5136" width="6.28125" style="0" customWidth="1"/>
    <col min="5137" max="5138" width="6.57421875" style="0" customWidth="1"/>
    <col min="5139" max="5139" width="5.7109375" style="0" customWidth="1"/>
    <col min="5140" max="5140" width="6.140625" style="0" customWidth="1"/>
    <col min="5141" max="5141" width="7.00390625" style="0" customWidth="1"/>
    <col min="5142" max="5142" width="7.28125" style="0" customWidth="1"/>
    <col min="5143" max="5143" width="8.28125" style="0" customWidth="1"/>
    <col min="5144" max="5144" width="10.28125" style="0" customWidth="1"/>
    <col min="5377" max="5377" width="4.8515625" style="0" customWidth="1"/>
    <col min="5378" max="5378" width="11.140625" style="0" customWidth="1"/>
    <col min="5379" max="5379" width="65.28125" style="0" customWidth="1"/>
    <col min="5380" max="5380" width="4.7109375" style="0" customWidth="1"/>
    <col min="5381" max="5381" width="9.00390625" style="0" customWidth="1"/>
    <col min="5382" max="5382" width="8.140625" style="0" customWidth="1"/>
    <col min="5383" max="5384" width="11.7109375" style="0" customWidth="1"/>
    <col min="5385" max="5385" width="8.00390625" style="0" customWidth="1"/>
    <col min="5387" max="5387" width="1.28515625" style="0" customWidth="1"/>
    <col min="5389" max="5389" width="32.140625" style="0" customWidth="1"/>
    <col min="5390" max="5390" width="19.28125" style="0" customWidth="1"/>
    <col min="5391" max="5391" width="6.8515625" style="0" customWidth="1"/>
    <col min="5392" max="5392" width="6.28125" style="0" customWidth="1"/>
    <col min="5393" max="5394" width="6.57421875" style="0" customWidth="1"/>
    <col min="5395" max="5395" width="5.7109375" style="0" customWidth="1"/>
    <col min="5396" max="5396" width="6.140625" style="0" customWidth="1"/>
    <col min="5397" max="5397" width="7.00390625" style="0" customWidth="1"/>
    <col min="5398" max="5398" width="7.28125" style="0" customWidth="1"/>
    <col min="5399" max="5399" width="8.28125" style="0" customWidth="1"/>
    <col min="5400" max="5400" width="10.28125" style="0" customWidth="1"/>
    <col min="5633" max="5633" width="4.8515625" style="0" customWidth="1"/>
    <col min="5634" max="5634" width="11.140625" style="0" customWidth="1"/>
    <col min="5635" max="5635" width="65.28125" style="0" customWidth="1"/>
    <col min="5636" max="5636" width="4.7109375" style="0" customWidth="1"/>
    <col min="5637" max="5637" width="9.00390625" style="0" customWidth="1"/>
    <col min="5638" max="5638" width="8.140625" style="0" customWidth="1"/>
    <col min="5639" max="5640" width="11.7109375" style="0" customWidth="1"/>
    <col min="5641" max="5641" width="8.00390625" style="0" customWidth="1"/>
    <col min="5643" max="5643" width="1.28515625" style="0" customWidth="1"/>
    <col min="5645" max="5645" width="32.140625" style="0" customWidth="1"/>
    <col min="5646" max="5646" width="19.28125" style="0" customWidth="1"/>
    <col min="5647" max="5647" width="6.8515625" style="0" customWidth="1"/>
    <col min="5648" max="5648" width="6.28125" style="0" customWidth="1"/>
    <col min="5649" max="5650" width="6.57421875" style="0" customWidth="1"/>
    <col min="5651" max="5651" width="5.7109375" style="0" customWidth="1"/>
    <col min="5652" max="5652" width="6.140625" style="0" customWidth="1"/>
    <col min="5653" max="5653" width="7.00390625" style="0" customWidth="1"/>
    <col min="5654" max="5654" width="7.28125" style="0" customWidth="1"/>
    <col min="5655" max="5655" width="8.28125" style="0" customWidth="1"/>
    <col min="5656" max="5656" width="10.28125" style="0" customWidth="1"/>
    <col min="5889" max="5889" width="4.8515625" style="0" customWidth="1"/>
    <col min="5890" max="5890" width="11.140625" style="0" customWidth="1"/>
    <col min="5891" max="5891" width="65.28125" style="0" customWidth="1"/>
    <col min="5892" max="5892" width="4.7109375" style="0" customWidth="1"/>
    <col min="5893" max="5893" width="9.00390625" style="0" customWidth="1"/>
    <col min="5894" max="5894" width="8.140625" style="0" customWidth="1"/>
    <col min="5895" max="5896" width="11.7109375" style="0" customWidth="1"/>
    <col min="5897" max="5897" width="8.00390625" style="0" customWidth="1"/>
    <col min="5899" max="5899" width="1.28515625" style="0" customWidth="1"/>
    <col min="5901" max="5901" width="32.140625" style="0" customWidth="1"/>
    <col min="5902" max="5902" width="19.28125" style="0" customWidth="1"/>
    <col min="5903" max="5903" width="6.8515625" style="0" customWidth="1"/>
    <col min="5904" max="5904" width="6.28125" style="0" customWidth="1"/>
    <col min="5905" max="5906" width="6.57421875" style="0" customWidth="1"/>
    <col min="5907" max="5907" width="5.7109375" style="0" customWidth="1"/>
    <col min="5908" max="5908" width="6.140625" style="0" customWidth="1"/>
    <col min="5909" max="5909" width="7.00390625" style="0" customWidth="1"/>
    <col min="5910" max="5910" width="7.28125" style="0" customWidth="1"/>
    <col min="5911" max="5911" width="8.28125" style="0" customWidth="1"/>
    <col min="5912" max="5912" width="10.28125" style="0" customWidth="1"/>
    <col min="6145" max="6145" width="4.8515625" style="0" customWidth="1"/>
    <col min="6146" max="6146" width="11.140625" style="0" customWidth="1"/>
    <col min="6147" max="6147" width="65.28125" style="0" customWidth="1"/>
    <col min="6148" max="6148" width="4.7109375" style="0" customWidth="1"/>
    <col min="6149" max="6149" width="9.00390625" style="0" customWidth="1"/>
    <col min="6150" max="6150" width="8.140625" style="0" customWidth="1"/>
    <col min="6151" max="6152" width="11.7109375" style="0" customWidth="1"/>
    <col min="6153" max="6153" width="8.00390625" style="0" customWidth="1"/>
    <col min="6155" max="6155" width="1.28515625" style="0" customWidth="1"/>
    <col min="6157" max="6157" width="32.140625" style="0" customWidth="1"/>
    <col min="6158" max="6158" width="19.28125" style="0" customWidth="1"/>
    <col min="6159" max="6159" width="6.8515625" style="0" customWidth="1"/>
    <col min="6160" max="6160" width="6.28125" style="0" customWidth="1"/>
    <col min="6161" max="6162" width="6.57421875" style="0" customWidth="1"/>
    <col min="6163" max="6163" width="5.7109375" style="0" customWidth="1"/>
    <col min="6164" max="6164" width="6.140625" style="0" customWidth="1"/>
    <col min="6165" max="6165" width="7.00390625" style="0" customWidth="1"/>
    <col min="6166" max="6166" width="7.28125" style="0" customWidth="1"/>
    <col min="6167" max="6167" width="8.28125" style="0" customWidth="1"/>
    <col min="6168" max="6168" width="10.28125" style="0" customWidth="1"/>
    <col min="6401" max="6401" width="4.8515625" style="0" customWidth="1"/>
    <col min="6402" max="6402" width="11.140625" style="0" customWidth="1"/>
    <col min="6403" max="6403" width="65.28125" style="0" customWidth="1"/>
    <col min="6404" max="6404" width="4.7109375" style="0" customWidth="1"/>
    <col min="6405" max="6405" width="9.00390625" style="0" customWidth="1"/>
    <col min="6406" max="6406" width="8.140625" style="0" customWidth="1"/>
    <col min="6407" max="6408" width="11.7109375" style="0" customWidth="1"/>
    <col min="6409" max="6409" width="8.00390625" style="0" customWidth="1"/>
    <col min="6411" max="6411" width="1.28515625" style="0" customWidth="1"/>
    <col min="6413" max="6413" width="32.140625" style="0" customWidth="1"/>
    <col min="6414" max="6414" width="19.28125" style="0" customWidth="1"/>
    <col min="6415" max="6415" width="6.8515625" style="0" customWidth="1"/>
    <col min="6416" max="6416" width="6.28125" style="0" customWidth="1"/>
    <col min="6417" max="6418" width="6.57421875" style="0" customWidth="1"/>
    <col min="6419" max="6419" width="5.7109375" style="0" customWidth="1"/>
    <col min="6420" max="6420" width="6.140625" style="0" customWidth="1"/>
    <col min="6421" max="6421" width="7.00390625" style="0" customWidth="1"/>
    <col min="6422" max="6422" width="7.28125" style="0" customWidth="1"/>
    <col min="6423" max="6423" width="8.28125" style="0" customWidth="1"/>
    <col min="6424" max="6424" width="10.28125" style="0" customWidth="1"/>
    <col min="6657" max="6657" width="4.8515625" style="0" customWidth="1"/>
    <col min="6658" max="6658" width="11.140625" style="0" customWidth="1"/>
    <col min="6659" max="6659" width="65.28125" style="0" customWidth="1"/>
    <col min="6660" max="6660" width="4.7109375" style="0" customWidth="1"/>
    <col min="6661" max="6661" width="9.00390625" style="0" customWidth="1"/>
    <col min="6662" max="6662" width="8.140625" style="0" customWidth="1"/>
    <col min="6663" max="6664" width="11.7109375" style="0" customWidth="1"/>
    <col min="6665" max="6665" width="8.00390625" style="0" customWidth="1"/>
    <col min="6667" max="6667" width="1.28515625" style="0" customWidth="1"/>
    <col min="6669" max="6669" width="32.140625" style="0" customWidth="1"/>
    <col min="6670" max="6670" width="19.28125" style="0" customWidth="1"/>
    <col min="6671" max="6671" width="6.8515625" style="0" customWidth="1"/>
    <col min="6672" max="6672" width="6.28125" style="0" customWidth="1"/>
    <col min="6673" max="6674" width="6.57421875" style="0" customWidth="1"/>
    <col min="6675" max="6675" width="5.7109375" style="0" customWidth="1"/>
    <col min="6676" max="6676" width="6.140625" style="0" customWidth="1"/>
    <col min="6677" max="6677" width="7.00390625" style="0" customWidth="1"/>
    <col min="6678" max="6678" width="7.28125" style="0" customWidth="1"/>
    <col min="6679" max="6679" width="8.28125" style="0" customWidth="1"/>
    <col min="6680" max="6680" width="10.28125" style="0" customWidth="1"/>
    <col min="6913" max="6913" width="4.8515625" style="0" customWidth="1"/>
    <col min="6914" max="6914" width="11.140625" style="0" customWidth="1"/>
    <col min="6915" max="6915" width="65.28125" style="0" customWidth="1"/>
    <col min="6916" max="6916" width="4.7109375" style="0" customWidth="1"/>
    <col min="6917" max="6917" width="9.00390625" style="0" customWidth="1"/>
    <col min="6918" max="6918" width="8.140625" style="0" customWidth="1"/>
    <col min="6919" max="6920" width="11.7109375" style="0" customWidth="1"/>
    <col min="6921" max="6921" width="8.00390625" style="0" customWidth="1"/>
    <col min="6923" max="6923" width="1.28515625" style="0" customWidth="1"/>
    <col min="6925" max="6925" width="32.140625" style="0" customWidth="1"/>
    <col min="6926" max="6926" width="19.28125" style="0" customWidth="1"/>
    <col min="6927" max="6927" width="6.8515625" style="0" customWidth="1"/>
    <col min="6928" max="6928" width="6.28125" style="0" customWidth="1"/>
    <col min="6929" max="6930" width="6.57421875" style="0" customWidth="1"/>
    <col min="6931" max="6931" width="5.7109375" style="0" customWidth="1"/>
    <col min="6932" max="6932" width="6.140625" style="0" customWidth="1"/>
    <col min="6933" max="6933" width="7.00390625" style="0" customWidth="1"/>
    <col min="6934" max="6934" width="7.28125" style="0" customWidth="1"/>
    <col min="6935" max="6935" width="8.28125" style="0" customWidth="1"/>
    <col min="6936" max="6936" width="10.28125" style="0" customWidth="1"/>
    <col min="7169" max="7169" width="4.8515625" style="0" customWidth="1"/>
    <col min="7170" max="7170" width="11.140625" style="0" customWidth="1"/>
    <col min="7171" max="7171" width="65.28125" style="0" customWidth="1"/>
    <col min="7172" max="7172" width="4.7109375" style="0" customWidth="1"/>
    <col min="7173" max="7173" width="9.00390625" style="0" customWidth="1"/>
    <col min="7174" max="7174" width="8.140625" style="0" customWidth="1"/>
    <col min="7175" max="7176" width="11.7109375" style="0" customWidth="1"/>
    <col min="7177" max="7177" width="8.00390625" style="0" customWidth="1"/>
    <col min="7179" max="7179" width="1.28515625" style="0" customWidth="1"/>
    <col min="7181" max="7181" width="32.140625" style="0" customWidth="1"/>
    <col min="7182" max="7182" width="19.28125" style="0" customWidth="1"/>
    <col min="7183" max="7183" width="6.8515625" style="0" customWidth="1"/>
    <col min="7184" max="7184" width="6.28125" style="0" customWidth="1"/>
    <col min="7185" max="7186" width="6.57421875" style="0" customWidth="1"/>
    <col min="7187" max="7187" width="5.7109375" style="0" customWidth="1"/>
    <col min="7188" max="7188" width="6.140625" style="0" customWidth="1"/>
    <col min="7189" max="7189" width="7.00390625" style="0" customWidth="1"/>
    <col min="7190" max="7190" width="7.28125" style="0" customWidth="1"/>
    <col min="7191" max="7191" width="8.28125" style="0" customWidth="1"/>
    <col min="7192" max="7192" width="10.28125" style="0" customWidth="1"/>
    <col min="7425" max="7425" width="4.8515625" style="0" customWidth="1"/>
    <col min="7426" max="7426" width="11.140625" style="0" customWidth="1"/>
    <col min="7427" max="7427" width="65.28125" style="0" customWidth="1"/>
    <col min="7428" max="7428" width="4.7109375" style="0" customWidth="1"/>
    <col min="7429" max="7429" width="9.00390625" style="0" customWidth="1"/>
    <col min="7430" max="7430" width="8.140625" style="0" customWidth="1"/>
    <col min="7431" max="7432" width="11.7109375" style="0" customWidth="1"/>
    <col min="7433" max="7433" width="8.00390625" style="0" customWidth="1"/>
    <col min="7435" max="7435" width="1.28515625" style="0" customWidth="1"/>
    <col min="7437" max="7437" width="32.140625" style="0" customWidth="1"/>
    <col min="7438" max="7438" width="19.28125" style="0" customWidth="1"/>
    <col min="7439" max="7439" width="6.8515625" style="0" customWidth="1"/>
    <col min="7440" max="7440" width="6.28125" style="0" customWidth="1"/>
    <col min="7441" max="7442" width="6.57421875" style="0" customWidth="1"/>
    <col min="7443" max="7443" width="5.7109375" style="0" customWidth="1"/>
    <col min="7444" max="7444" width="6.140625" style="0" customWidth="1"/>
    <col min="7445" max="7445" width="7.00390625" style="0" customWidth="1"/>
    <col min="7446" max="7446" width="7.28125" style="0" customWidth="1"/>
    <col min="7447" max="7447" width="8.28125" style="0" customWidth="1"/>
    <col min="7448" max="7448" width="10.28125" style="0" customWidth="1"/>
    <col min="7681" max="7681" width="4.8515625" style="0" customWidth="1"/>
    <col min="7682" max="7682" width="11.140625" style="0" customWidth="1"/>
    <col min="7683" max="7683" width="65.28125" style="0" customWidth="1"/>
    <col min="7684" max="7684" width="4.7109375" style="0" customWidth="1"/>
    <col min="7685" max="7685" width="9.00390625" style="0" customWidth="1"/>
    <col min="7686" max="7686" width="8.140625" style="0" customWidth="1"/>
    <col min="7687" max="7688" width="11.7109375" style="0" customWidth="1"/>
    <col min="7689" max="7689" width="8.00390625" style="0" customWidth="1"/>
    <col min="7691" max="7691" width="1.28515625" style="0" customWidth="1"/>
    <col min="7693" max="7693" width="32.140625" style="0" customWidth="1"/>
    <col min="7694" max="7694" width="19.28125" style="0" customWidth="1"/>
    <col min="7695" max="7695" width="6.8515625" style="0" customWidth="1"/>
    <col min="7696" max="7696" width="6.28125" style="0" customWidth="1"/>
    <col min="7697" max="7698" width="6.57421875" style="0" customWidth="1"/>
    <col min="7699" max="7699" width="5.7109375" style="0" customWidth="1"/>
    <col min="7700" max="7700" width="6.140625" style="0" customWidth="1"/>
    <col min="7701" max="7701" width="7.00390625" style="0" customWidth="1"/>
    <col min="7702" max="7702" width="7.28125" style="0" customWidth="1"/>
    <col min="7703" max="7703" width="8.28125" style="0" customWidth="1"/>
    <col min="7704" max="7704" width="10.28125" style="0" customWidth="1"/>
    <col min="7937" max="7937" width="4.8515625" style="0" customWidth="1"/>
    <col min="7938" max="7938" width="11.140625" style="0" customWidth="1"/>
    <col min="7939" max="7939" width="65.28125" style="0" customWidth="1"/>
    <col min="7940" max="7940" width="4.7109375" style="0" customWidth="1"/>
    <col min="7941" max="7941" width="9.00390625" style="0" customWidth="1"/>
    <col min="7942" max="7942" width="8.140625" style="0" customWidth="1"/>
    <col min="7943" max="7944" width="11.7109375" style="0" customWidth="1"/>
    <col min="7945" max="7945" width="8.00390625" style="0" customWidth="1"/>
    <col min="7947" max="7947" width="1.28515625" style="0" customWidth="1"/>
    <col min="7949" max="7949" width="32.140625" style="0" customWidth="1"/>
    <col min="7950" max="7950" width="19.28125" style="0" customWidth="1"/>
    <col min="7951" max="7951" width="6.8515625" style="0" customWidth="1"/>
    <col min="7952" max="7952" width="6.28125" style="0" customWidth="1"/>
    <col min="7953" max="7954" width="6.57421875" style="0" customWidth="1"/>
    <col min="7955" max="7955" width="5.7109375" style="0" customWidth="1"/>
    <col min="7956" max="7956" width="6.140625" style="0" customWidth="1"/>
    <col min="7957" max="7957" width="7.00390625" style="0" customWidth="1"/>
    <col min="7958" max="7958" width="7.28125" style="0" customWidth="1"/>
    <col min="7959" max="7959" width="8.28125" style="0" customWidth="1"/>
    <col min="7960" max="7960" width="10.28125" style="0" customWidth="1"/>
    <col min="8193" max="8193" width="4.8515625" style="0" customWidth="1"/>
    <col min="8194" max="8194" width="11.140625" style="0" customWidth="1"/>
    <col min="8195" max="8195" width="65.28125" style="0" customWidth="1"/>
    <col min="8196" max="8196" width="4.7109375" style="0" customWidth="1"/>
    <col min="8197" max="8197" width="9.00390625" style="0" customWidth="1"/>
    <col min="8198" max="8198" width="8.140625" style="0" customWidth="1"/>
    <col min="8199" max="8200" width="11.7109375" style="0" customWidth="1"/>
    <col min="8201" max="8201" width="8.00390625" style="0" customWidth="1"/>
    <col min="8203" max="8203" width="1.28515625" style="0" customWidth="1"/>
    <col min="8205" max="8205" width="32.140625" style="0" customWidth="1"/>
    <col min="8206" max="8206" width="19.28125" style="0" customWidth="1"/>
    <col min="8207" max="8207" width="6.8515625" style="0" customWidth="1"/>
    <col min="8208" max="8208" width="6.28125" style="0" customWidth="1"/>
    <col min="8209" max="8210" width="6.57421875" style="0" customWidth="1"/>
    <col min="8211" max="8211" width="5.7109375" style="0" customWidth="1"/>
    <col min="8212" max="8212" width="6.140625" style="0" customWidth="1"/>
    <col min="8213" max="8213" width="7.00390625" style="0" customWidth="1"/>
    <col min="8214" max="8214" width="7.28125" style="0" customWidth="1"/>
    <col min="8215" max="8215" width="8.28125" style="0" customWidth="1"/>
    <col min="8216" max="8216" width="10.28125" style="0" customWidth="1"/>
    <col min="8449" max="8449" width="4.8515625" style="0" customWidth="1"/>
    <col min="8450" max="8450" width="11.140625" style="0" customWidth="1"/>
    <col min="8451" max="8451" width="65.28125" style="0" customWidth="1"/>
    <col min="8452" max="8452" width="4.7109375" style="0" customWidth="1"/>
    <col min="8453" max="8453" width="9.00390625" style="0" customWidth="1"/>
    <col min="8454" max="8454" width="8.140625" style="0" customWidth="1"/>
    <col min="8455" max="8456" width="11.7109375" style="0" customWidth="1"/>
    <col min="8457" max="8457" width="8.00390625" style="0" customWidth="1"/>
    <col min="8459" max="8459" width="1.28515625" style="0" customWidth="1"/>
    <col min="8461" max="8461" width="32.140625" style="0" customWidth="1"/>
    <col min="8462" max="8462" width="19.28125" style="0" customWidth="1"/>
    <col min="8463" max="8463" width="6.8515625" style="0" customWidth="1"/>
    <col min="8464" max="8464" width="6.28125" style="0" customWidth="1"/>
    <col min="8465" max="8466" width="6.57421875" style="0" customWidth="1"/>
    <col min="8467" max="8467" width="5.7109375" style="0" customWidth="1"/>
    <col min="8468" max="8468" width="6.140625" style="0" customWidth="1"/>
    <col min="8469" max="8469" width="7.00390625" style="0" customWidth="1"/>
    <col min="8470" max="8470" width="7.28125" style="0" customWidth="1"/>
    <col min="8471" max="8471" width="8.28125" style="0" customWidth="1"/>
    <col min="8472" max="8472" width="10.28125" style="0" customWidth="1"/>
    <col min="8705" max="8705" width="4.8515625" style="0" customWidth="1"/>
    <col min="8706" max="8706" width="11.140625" style="0" customWidth="1"/>
    <col min="8707" max="8707" width="65.28125" style="0" customWidth="1"/>
    <col min="8708" max="8708" width="4.7109375" style="0" customWidth="1"/>
    <col min="8709" max="8709" width="9.00390625" style="0" customWidth="1"/>
    <col min="8710" max="8710" width="8.140625" style="0" customWidth="1"/>
    <col min="8711" max="8712" width="11.7109375" style="0" customWidth="1"/>
    <col min="8713" max="8713" width="8.00390625" style="0" customWidth="1"/>
    <col min="8715" max="8715" width="1.28515625" style="0" customWidth="1"/>
    <col min="8717" max="8717" width="32.140625" style="0" customWidth="1"/>
    <col min="8718" max="8718" width="19.28125" style="0" customWidth="1"/>
    <col min="8719" max="8719" width="6.8515625" style="0" customWidth="1"/>
    <col min="8720" max="8720" width="6.28125" style="0" customWidth="1"/>
    <col min="8721" max="8722" width="6.57421875" style="0" customWidth="1"/>
    <col min="8723" max="8723" width="5.7109375" style="0" customWidth="1"/>
    <col min="8724" max="8724" width="6.140625" style="0" customWidth="1"/>
    <col min="8725" max="8725" width="7.00390625" style="0" customWidth="1"/>
    <col min="8726" max="8726" width="7.28125" style="0" customWidth="1"/>
    <col min="8727" max="8727" width="8.28125" style="0" customWidth="1"/>
    <col min="8728" max="8728" width="10.28125" style="0" customWidth="1"/>
    <col min="8961" max="8961" width="4.8515625" style="0" customWidth="1"/>
    <col min="8962" max="8962" width="11.140625" style="0" customWidth="1"/>
    <col min="8963" max="8963" width="65.28125" style="0" customWidth="1"/>
    <col min="8964" max="8964" width="4.7109375" style="0" customWidth="1"/>
    <col min="8965" max="8965" width="9.00390625" style="0" customWidth="1"/>
    <col min="8966" max="8966" width="8.140625" style="0" customWidth="1"/>
    <col min="8967" max="8968" width="11.7109375" style="0" customWidth="1"/>
    <col min="8969" max="8969" width="8.00390625" style="0" customWidth="1"/>
    <col min="8971" max="8971" width="1.28515625" style="0" customWidth="1"/>
    <col min="8973" max="8973" width="32.140625" style="0" customWidth="1"/>
    <col min="8974" max="8974" width="19.28125" style="0" customWidth="1"/>
    <col min="8975" max="8975" width="6.8515625" style="0" customWidth="1"/>
    <col min="8976" max="8976" width="6.28125" style="0" customWidth="1"/>
    <col min="8977" max="8978" width="6.57421875" style="0" customWidth="1"/>
    <col min="8979" max="8979" width="5.7109375" style="0" customWidth="1"/>
    <col min="8980" max="8980" width="6.140625" style="0" customWidth="1"/>
    <col min="8981" max="8981" width="7.00390625" style="0" customWidth="1"/>
    <col min="8982" max="8982" width="7.28125" style="0" customWidth="1"/>
    <col min="8983" max="8983" width="8.28125" style="0" customWidth="1"/>
    <col min="8984" max="8984" width="10.28125" style="0" customWidth="1"/>
    <col min="9217" max="9217" width="4.8515625" style="0" customWidth="1"/>
    <col min="9218" max="9218" width="11.140625" style="0" customWidth="1"/>
    <col min="9219" max="9219" width="65.28125" style="0" customWidth="1"/>
    <col min="9220" max="9220" width="4.7109375" style="0" customWidth="1"/>
    <col min="9221" max="9221" width="9.00390625" style="0" customWidth="1"/>
    <col min="9222" max="9222" width="8.140625" style="0" customWidth="1"/>
    <col min="9223" max="9224" width="11.7109375" style="0" customWidth="1"/>
    <col min="9225" max="9225" width="8.00390625" style="0" customWidth="1"/>
    <col min="9227" max="9227" width="1.28515625" style="0" customWidth="1"/>
    <col min="9229" max="9229" width="32.140625" style="0" customWidth="1"/>
    <col min="9230" max="9230" width="19.28125" style="0" customWidth="1"/>
    <col min="9231" max="9231" width="6.8515625" style="0" customWidth="1"/>
    <col min="9232" max="9232" width="6.28125" style="0" customWidth="1"/>
    <col min="9233" max="9234" width="6.57421875" style="0" customWidth="1"/>
    <col min="9235" max="9235" width="5.7109375" style="0" customWidth="1"/>
    <col min="9236" max="9236" width="6.140625" style="0" customWidth="1"/>
    <col min="9237" max="9237" width="7.00390625" style="0" customWidth="1"/>
    <col min="9238" max="9238" width="7.28125" style="0" customWidth="1"/>
    <col min="9239" max="9239" width="8.28125" style="0" customWidth="1"/>
    <col min="9240" max="9240" width="10.28125" style="0" customWidth="1"/>
    <col min="9473" max="9473" width="4.8515625" style="0" customWidth="1"/>
    <col min="9474" max="9474" width="11.140625" style="0" customWidth="1"/>
    <col min="9475" max="9475" width="65.28125" style="0" customWidth="1"/>
    <col min="9476" max="9476" width="4.7109375" style="0" customWidth="1"/>
    <col min="9477" max="9477" width="9.00390625" style="0" customWidth="1"/>
    <col min="9478" max="9478" width="8.140625" style="0" customWidth="1"/>
    <col min="9479" max="9480" width="11.7109375" style="0" customWidth="1"/>
    <col min="9481" max="9481" width="8.00390625" style="0" customWidth="1"/>
    <col min="9483" max="9483" width="1.28515625" style="0" customWidth="1"/>
    <col min="9485" max="9485" width="32.140625" style="0" customWidth="1"/>
    <col min="9486" max="9486" width="19.28125" style="0" customWidth="1"/>
    <col min="9487" max="9487" width="6.8515625" style="0" customWidth="1"/>
    <col min="9488" max="9488" width="6.28125" style="0" customWidth="1"/>
    <col min="9489" max="9490" width="6.57421875" style="0" customWidth="1"/>
    <col min="9491" max="9491" width="5.7109375" style="0" customWidth="1"/>
    <col min="9492" max="9492" width="6.140625" style="0" customWidth="1"/>
    <col min="9493" max="9493" width="7.00390625" style="0" customWidth="1"/>
    <col min="9494" max="9494" width="7.28125" style="0" customWidth="1"/>
    <col min="9495" max="9495" width="8.28125" style="0" customWidth="1"/>
    <col min="9496" max="9496" width="10.28125" style="0" customWidth="1"/>
    <col min="9729" max="9729" width="4.8515625" style="0" customWidth="1"/>
    <col min="9730" max="9730" width="11.140625" style="0" customWidth="1"/>
    <col min="9731" max="9731" width="65.28125" style="0" customWidth="1"/>
    <col min="9732" max="9732" width="4.7109375" style="0" customWidth="1"/>
    <col min="9733" max="9733" width="9.00390625" style="0" customWidth="1"/>
    <col min="9734" max="9734" width="8.140625" style="0" customWidth="1"/>
    <col min="9735" max="9736" width="11.7109375" style="0" customWidth="1"/>
    <col min="9737" max="9737" width="8.00390625" style="0" customWidth="1"/>
    <col min="9739" max="9739" width="1.28515625" style="0" customWidth="1"/>
    <col min="9741" max="9741" width="32.140625" style="0" customWidth="1"/>
    <col min="9742" max="9742" width="19.28125" style="0" customWidth="1"/>
    <col min="9743" max="9743" width="6.8515625" style="0" customWidth="1"/>
    <col min="9744" max="9744" width="6.28125" style="0" customWidth="1"/>
    <col min="9745" max="9746" width="6.57421875" style="0" customWidth="1"/>
    <col min="9747" max="9747" width="5.7109375" style="0" customWidth="1"/>
    <col min="9748" max="9748" width="6.140625" style="0" customWidth="1"/>
    <col min="9749" max="9749" width="7.00390625" style="0" customWidth="1"/>
    <col min="9750" max="9750" width="7.28125" style="0" customWidth="1"/>
    <col min="9751" max="9751" width="8.28125" style="0" customWidth="1"/>
    <col min="9752" max="9752" width="10.28125" style="0" customWidth="1"/>
    <col min="9985" max="9985" width="4.8515625" style="0" customWidth="1"/>
    <col min="9986" max="9986" width="11.140625" style="0" customWidth="1"/>
    <col min="9987" max="9987" width="65.28125" style="0" customWidth="1"/>
    <col min="9988" max="9988" width="4.7109375" style="0" customWidth="1"/>
    <col min="9989" max="9989" width="9.00390625" style="0" customWidth="1"/>
    <col min="9990" max="9990" width="8.140625" style="0" customWidth="1"/>
    <col min="9991" max="9992" width="11.7109375" style="0" customWidth="1"/>
    <col min="9993" max="9993" width="8.00390625" style="0" customWidth="1"/>
    <col min="9995" max="9995" width="1.28515625" style="0" customWidth="1"/>
    <col min="9997" max="9997" width="32.140625" style="0" customWidth="1"/>
    <col min="9998" max="9998" width="19.28125" style="0" customWidth="1"/>
    <col min="9999" max="9999" width="6.8515625" style="0" customWidth="1"/>
    <col min="10000" max="10000" width="6.28125" style="0" customWidth="1"/>
    <col min="10001" max="10002" width="6.57421875" style="0" customWidth="1"/>
    <col min="10003" max="10003" width="5.7109375" style="0" customWidth="1"/>
    <col min="10004" max="10004" width="6.140625" style="0" customWidth="1"/>
    <col min="10005" max="10005" width="7.00390625" style="0" customWidth="1"/>
    <col min="10006" max="10006" width="7.28125" style="0" customWidth="1"/>
    <col min="10007" max="10007" width="8.28125" style="0" customWidth="1"/>
    <col min="10008" max="10008" width="10.28125" style="0" customWidth="1"/>
    <col min="10241" max="10241" width="4.8515625" style="0" customWidth="1"/>
    <col min="10242" max="10242" width="11.140625" style="0" customWidth="1"/>
    <col min="10243" max="10243" width="65.28125" style="0" customWidth="1"/>
    <col min="10244" max="10244" width="4.7109375" style="0" customWidth="1"/>
    <col min="10245" max="10245" width="9.00390625" style="0" customWidth="1"/>
    <col min="10246" max="10246" width="8.140625" style="0" customWidth="1"/>
    <col min="10247" max="10248" width="11.7109375" style="0" customWidth="1"/>
    <col min="10249" max="10249" width="8.00390625" style="0" customWidth="1"/>
    <col min="10251" max="10251" width="1.28515625" style="0" customWidth="1"/>
    <col min="10253" max="10253" width="32.140625" style="0" customWidth="1"/>
    <col min="10254" max="10254" width="19.28125" style="0" customWidth="1"/>
    <col min="10255" max="10255" width="6.8515625" style="0" customWidth="1"/>
    <col min="10256" max="10256" width="6.28125" style="0" customWidth="1"/>
    <col min="10257" max="10258" width="6.57421875" style="0" customWidth="1"/>
    <col min="10259" max="10259" width="5.7109375" style="0" customWidth="1"/>
    <col min="10260" max="10260" width="6.140625" style="0" customWidth="1"/>
    <col min="10261" max="10261" width="7.00390625" style="0" customWidth="1"/>
    <col min="10262" max="10262" width="7.28125" style="0" customWidth="1"/>
    <col min="10263" max="10263" width="8.28125" style="0" customWidth="1"/>
    <col min="10264" max="10264" width="10.28125" style="0" customWidth="1"/>
    <col min="10497" max="10497" width="4.8515625" style="0" customWidth="1"/>
    <col min="10498" max="10498" width="11.140625" style="0" customWidth="1"/>
    <col min="10499" max="10499" width="65.28125" style="0" customWidth="1"/>
    <col min="10500" max="10500" width="4.7109375" style="0" customWidth="1"/>
    <col min="10501" max="10501" width="9.00390625" style="0" customWidth="1"/>
    <col min="10502" max="10502" width="8.140625" style="0" customWidth="1"/>
    <col min="10503" max="10504" width="11.7109375" style="0" customWidth="1"/>
    <col min="10505" max="10505" width="8.00390625" style="0" customWidth="1"/>
    <col min="10507" max="10507" width="1.28515625" style="0" customWidth="1"/>
    <col min="10509" max="10509" width="32.140625" style="0" customWidth="1"/>
    <col min="10510" max="10510" width="19.28125" style="0" customWidth="1"/>
    <col min="10511" max="10511" width="6.8515625" style="0" customWidth="1"/>
    <col min="10512" max="10512" width="6.28125" style="0" customWidth="1"/>
    <col min="10513" max="10514" width="6.57421875" style="0" customWidth="1"/>
    <col min="10515" max="10515" width="5.7109375" style="0" customWidth="1"/>
    <col min="10516" max="10516" width="6.140625" style="0" customWidth="1"/>
    <col min="10517" max="10517" width="7.00390625" style="0" customWidth="1"/>
    <col min="10518" max="10518" width="7.28125" style="0" customWidth="1"/>
    <col min="10519" max="10519" width="8.28125" style="0" customWidth="1"/>
    <col min="10520" max="10520" width="10.28125" style="0" customWidth="1"/>
    <col min="10753" max="10753" width="4.8515625" style="0" customWidth="1"/>
    <col min="10754" max="10754" width="11.140625" style="0" customWidth="1"/>
    <col min="10755" max="10755" width="65.28125" style="0" customWidth="1"/>
    <col min="10756" max="10756" width="4.7109375" style="0" customWidth="1"/>
    <col min="10757" max="10757" width="9.00390625" style="0" customWidth="1"/>
    <col min="10758" max="10758" width="8.140625" style="0" customWidth="1"/>
    <col min="10759" max="10760" width="11.7109375" style="0" customWidth="1"/>
    <col min="10761" max="10761" width="8.00390625" style="0" customWidth="1"/>
    <col min="10763" max="10763" width="1.28515625" style="0" customWidth="1"/>
    <col min="10765" max="10765" width="32.140625" style="0" customWidth="1"/>
    <col min="10766" max="10766" width="19.28125" style="0" customWidth="1"/>
    <col min="10767" max="10767" width="6.8515625" style="0" customWidth="1"/>
    <col min="10768" max="10768" width="6.28125" style="0" customWidth="1"/>
    <col min="10769" max="10770" width="6.57421875" style="0" customWidth="1"/>
    <col min="10771" max="10771" width="5.7109375" style="0" customWidth="1"/>
    <col min="10772" max="10772" width="6.140625" style="0" customWidth="1"/>
    <col min="10773" max="10773" width="7.00390625" style="0" customWidth="1"/>
    <col min="10774" max="10774" width="7.28125" style="0" customWidth="1"/>
    <col min="10775" max="10775" width="8.28125" style="0" customWidth="1"/>
    <col min="10776" max="10776" width="10.28125" style="0" customWidth="1"/>
    <col min="11009" max="11009" width="4.8515625" style="0" customWidth="1"/>
    <col min="11010" max="11010" width="11.140625" style="0" customWidth="1"/>
    <col min="11011" max="11011" width="65.28125" style="0" customWidth="1"/>
    <col min="11012" max="11012" width="4.7109375" style="0" customWidth="1"/>
    <col min="11013" max="11013" width="9.00390625" style="0" customWidth="1"/>
    <col min="11014" max="11014" width="8.140625" style="0" customWidth="1"/>
    <col min="11015" max="11016" width="11.7109375" style="0" customWidth="1"/>
    <col min="11017" max="11017" width="8.00390625" style="0" customWidth="1"/>
    <col min="11019" max="11019" width="1.28515625" style="0" customWidth="1"/>
    <col min="11021" max="11021" width="32.140625" style="0" customWidth="1"/>
    <col min="11022" max="11022" width="19.28125" style="0" customWidth="1"/>
    <col min="11023" max="11023" width="6.8515625" style="0" customWidth="1"/>
    <col min="11024" max="11024" width="6.28125" style="0" customWidth="1"/>
    <col min="11025" max="11026" width="6.57421875" style="0" customWidth="1"/>
    <col min="11027" max="11027" width="5.7109375" style="0" customWidth="1"/>
    <col min="11028" max="11028" width="6.140625" style="0" customWidth="1"/>
    <col min="11029" max="11029" width="7.00390625" style="0" customWidth="1"/>
    <col min="11030" max="11030" width="7.28125" style="0" customWidth="1"/>
    <col min="11031" max="11031" width="8.28125" style="0" customWidth="1"/>
    <col min="11032" max="11032" width="10.28125" style="0" customWidth="1"/>
    <col min="11265" max="11265" width="4.8515625" style="0" customWidth="1"/>
    <col min="11266" max="11266" width="11.140625" style="0" customWidth="1"/>
    <col min="11267" max="11267" width="65.28125" style="0" customWidth="1"/>
    <col min="11268" max="11268" width="4.7109375" style="0" customWidth="1"/>
    <col min="11269" max="11269" width="9.00390625" style="0" customWidth="1"/>
    <col min="11270" max="11270" width="8.140625" style="0" customWidth="1"/>
    <col min="11271" max="11272" width="11.7109375" style="0" customWidth="1"/>
    <col min="11273" max="11273" width="8.00390625" style="0" customWidth="1"/>
    <col min="11275" max="11275" width="1.28515625" style="0" customWidth="1"/>
    <col min="11277" max="11277" width="32.140625" style="0" customWidth="1"/>
    <col min="11278" max="11278" width="19.28125" style="0" customWidth="1"/>
    <col min="11279" max="11279" width="6.8515625" style="0" customWidth="1"/>
    <col min="11280" max="11280" width="6.28125" style="0" customWidth="1"/>
    <col min="11281" max="11282" width="6.57421875" style="0" customWidth="1"/>
    <col min="11283" max="11283" width="5.7109375" style="0" customWidth="1"/>
    <col min="11284" max="11284" width="6.140625" style="0" customWidth="1"/>
    <col min="11285" max="11285" width="7.00390625" style="0" customWidth="1"/>
    <col min="11286" max="11286" width="7.28125" style="0" customWidth="1"/>
    <col min="11287" max="11287" width="8.28125" style="0" customWidth="1"/>
    <col min="11288" max="11288" width="10.28125" style="0" customWidth="1"/>
    <col min="11521" max="11521" width="4.8515625" style="0" customWidth="1"/>
    <col min="11522" max="11522" width="11.140625" style="0" customWidth="1"/>
    <col min="11523" max="11523" width="65.28125" style="0" customWidth="1"/>
    <col min="11524" max="11524" width="4.7109375" style="0" customWidth="1"/>
    <col min="11525" max="11525" width="9.00390625" style="0" customWidth="1"/>
    <col min="11526" max="11526" width="8.140625" style="0" customWidth="1"/>
    <col min="11527" max="11528" width="11.7109375" style="0" customWidth="1"/>
    <col min="11529" max="11529" width="8.00390625" style="0" customWidth="1"/>
    <col min="11531" max="11531" width="1.28515625" style="0" customWidth="1"/>
    <col min="11533" max="11533" width="32.140625" style="0" customWidth="1"/>
    <col min="11534" max="11534" width="19.28125" style="0" customWidth="1"/>
    <col min="11535" max="11535" width="6.8515625" style="0" customWidth="1"/>
    <col min="11536" max="11536" width="6.28125" style="0" customWidth="1"/>
    <col min="11537" max="11538" width="6.57421875" style="0" customWidth="1"/>
    <col min="11539" max="11539" width="5.7109375" style="0" customWidth="1"/>
    <col min="11540" max="11540" width="6.140625" style="0" customWidth="1"/>
    <col min="11541" max="11541" width="7.00390625" style="0" customWidth="1"/>
    <col min="11542" max="11542" width="7.28125" style="0" customWidth="1"/>
    <col min="11543" max="11543" width="8.28125" style="0" customWidth="1"/>
    <col min="11544" max="11544" width="10.28125" style="0" customWidth="1"/>
    <col min="11777" max="11777" width="4.8515625" style="0" customWidth="1"/>
    <col min="11778" max="11778" width="11.140625" style="0" customWidth="1"/>
    <col min="11779" max="11779" width="65.28125" style="0" customWidth="1"/>
    <col min="11780" max="11780" width="4.7109375" style="0" customWidth="1"/>
    <col min="11781" max="11781" width="9.00390625" style="0" customWidth="1"/>
    <col min="11782" max="11782" width="8.140625" style="0" customWidth="1"/>
    <col min="11783" max="11784" width="11.7109375" style="0" customWidth="1"/>
    <col min="11785" max="11785" width="8.00390625" style="0" customWidth="1"/>
    <col min="11787" max="11787" width="1.28515625" style="0" customWidth="1"/>
    <col min="11789" max="11789" width="32.140625" style="0" customWidth="1"/>
    <col min="11790" max="11790" width="19.28125" style="0" customWidth="1"/>
    <col min="11791" max="11791" width="6.8515625" style="0" customWidth="1"/>
    <col min="11792" max="11792" width="6.28125" style="0" customWidth="1"/>
    <col min="11793" max="11794" width="6.57421875" style="0" customWidth="1"/>
    <col min="11795" max="11795" width="5.7109375" style="0" customWidth="1"/>
    <col min="11796" max="11796" width="6.140625" style="0" customWidth="1"/>
    <col min="11797" max="11797" width="7.00390625" style="0" customWidth="1"/>
    <col min="11798" max="11798" width="7.28125" style="0" customWidth="1"/>
    <col min="11799" max="11799" width="8.28125" style="0" customWidth="1"/>
    <col min="11800" max="11800" width="10.28125" style="0" customWidth="1"/>
    <col min="12033" max="12033" width="4.8515625" style="0" customWidth="1"/>
    <col min="12034" max="12034" width="11.140625" style="0" customWidth="1"/>
    <col min="12035" max="12035" width="65.28125" style="0" customWidth="1"/>
    <col min="12036" max="12036" width="4.7109375" style="0" customWidth="1"/>
    <col min="12037" max="12037" width="9.00390625" style="0" customWidth="1"/>
    <col min="12038" max="12038" width="8.140625" style="0" customWidth="1"/>
    <col min="12039" max="12040" width="11.7109375" style="0" customWidth="1"/>
    <col min="12041" max="12041" width="8.00390625" style="0" customWidth="1"/>
    <col min="12043" max="12043" width="1.28515625" style="0" customWidth="1"/>
    <col min="12045" max="12045" width="32.140625" style="0" customWidth="1"/>
    <col min="12046" max="12046" width="19.28125" style="0" customWidth="1"/>
    <col min="12047" max="12047" width="6.8515625" style="0" customWidth="1"/>
    <col min="12048" max="12048" width="6.28125" style="0" customWidth="1"/>
    <col min="12049" max="12050" width="6.57421875" style="0" customWidth="1"/>
    <col min="12051" max="12051" width="5.7109375" style="0" customWidth="1"/>
    <col min="12052" max="12052" width="6.140625" style="0" customWidth="1"/>
    <col min="12053" max="12053" width="7.00390625" style="0" customWidth="1"/>
    <col min="12054" max="12054" width="7.28125" style="0" customWidth="1"/>
    <col min="12055" max="12055" width="8.28125" style="0" customWidth="1"/>
    <col min="12056" max="12056" width="10.28125" style="0" customWidth="1"/>
    <col min="12289" max="12289" width="4.8515625" style="0" customWidth="1"/>
    <col min="12290" max="12290" width="11.140625" style="0" customWidth="1"/>
    <col min="12291" max="12291" width="65.28125" style="0" customWidth="1"/>
    <col min="12292" max="12292" width="4.7109375" style="0" customWidth="1"/>
    <col min="12293" max="12293" width="9.00390625" style="0" customWidth="1"/>
    <col min="12294" max="12294" width="8.140625" style="0" customWidth="1"/>
    <col min="12295" max="12296" width="11.7109375" style="0" customWidth="1"/>
    <col min="12297" max="12297" width="8.00390625" style="0" customWidth="1"/>
    <col min="12299" max="12299" width="1.28515625" style="0" customWidth="1"/>
    <col min="12301" max="12301" width="32.140625" style="0" customWidth="1"/>
    <col min="12302" max="12302" width="19.28125" style="0" customWidth="1"/>
    <col min="12303" max="12303" width="6.8515625" style="0" customWidth="1"/>
    <col min="12304" max="12304" width="6.28125" style="0" customWidth="1"/>
    <col min="12305" max="12306" width="6.57421875" style="0" customWidth="1"/>
    <col min="12307" max="12307" width="5.7109375" style="0" customWidth="1"/>
    <col min="12308" max="12308" width="6.140625" style="0" customWidth="1"/>
    <col min="12309" max="12309" width="7.00390625" style="0" customWidth="1"/>
    <col min="12310" max="12310" width="7.28125" style="0" customWidth="1"/>
    <col min="12311" max="12311" width="8.28125" style="0" customWidth="1"/>
    <col min="12312" max="12312" width="10.28125" style="0" customWidth="1"/>
    <col min="12545" max="12545" width="4.8515625" style="0" customWidth="1"/>
    <col min="12546" max="12546" width="11.140625" style="0" customWidth="1"/>
    <col min="12547" max="12547" width="65.28125" style="0" customWidth="1"/>
    <col min="12548" max="12548" width="4.7109375" style="0" customWidth="1"/>
    <col min="12549" max="12549" width="9.00390625" style="0" customWidth="1"/>
    <col min="12550" max="12550" width="8.140625" style="0" customWidth="1"/>
    <col min="12551" max="12552" width="11.7109375" style="0" customWidth="1"/>
    <col min="12553" max="12553" width="8.00390625" style="0" customWidth="1"/>
    <col min="12555" max="12555" width="1.28515625" style="0" customWidth="1"/>
    <col min="12557" max="12557" width="32.140625" style="0" customWidth="1"/>
    <col min="12558" max="12558" width="19.28125" style="0" customWidth="1"/>
    <col min="12559" max="12559" width="6.8515625" style="0" customWidth="1"/>
    <col min="12560" max="12560" width="6.28125" style="0" customWidth="1"/>
    <col min="12561" max="12562" width="6.57421875" style="0" customWidth="1"/>
    <col min="12563" max="12563" width="5.7109375" style="0" customWidth="1"/>
    <col min="12564" max="12564" width="6.140625" style="0" customWidth="1"/>
    <col min="12565" max="12565" width="7.00390625" style="0" customWidth="1"/>
    <col min="12566" max="12566" width="7.28125" style="0" customWidth="1"/>
    <col min="12567" max="12567" width="8.28125" style="0" customWidth="1"/>
    <col min="12568" max="12568" width="10.28125" style="0" customWidth="1"/>
    <col min="12801" max="12801" width="4.8515625" style="0" customWidth="1"/>
    <col min="12802" max="12802" width="11.140625" style="0" customWidth="1"/>
    <col min="12803" max="12803" width="65.28125" style="0" customWidth="1"/>
    <col min="12804" max="12804" width="4.7109375" style="0" customWidth="1"/>
    <col min="12805" max="12805" width="9.00390625" style="0" customWidth="1"/>
    <col min="12806" max="12806" width="8.140625" style="0" customWidth="1"/>
    <col min="12807" max="12808" width="11.7109375" style="0" customWidth="1"/>
    <col min="12809" max="12809" width="8.00390625" style="0" customWidth="1"/>
    <col min="12811" max="12811" width="1.28515625" style="0" customWidth="1"/>
    <col min="12813" max="12813" width="32.140625" style="0" customWidth="1"/>
    <col min="12814" max="12814" width="19.28125" style="0" customWidth="1"/>
    <col min="12815" max="12815" width="6.8515625" style="0" customWidth="1"/>
    <col min="12816" max="12816" width="6.28125" style="0" customWidth="1"/>
    <col min="12817" max="12818" width="6.57421875" style="0" customWidth="1"/>
    <col min="12819" max="12819" width="5.7109375" style="0" customWidth="1"/>
    <col min="12820" max="12820" width="6.140625" style="0" customWidth="1"/>
    <col min="12821" max="12821" width="7.00390625" style="0" customWidth="1"/>
    <col min="12822" max="12822" width="7.28125" style="0" customWidth="1"/>
    <col min="12823" max="12823" width="8.28125" style="0" customWidth="1"/>
    <col min="12824" max="12824" width="10.28125" style="0" customWidth="1"/>
    <col min="13057" max="13057" width="4.8515625" style="0" customWidth="1"/>
    <col min="13058" max="13058" width="11.140625" style="0" customWidth="1"/>
    <col min="13059" max="13059" width="65.28125" style="0" customWidth="1"/>
    <col min="13060" max="13060" width="4.7109375" style="0" customWidth="1"/>
    <col min="13061" max="13061" width="9.00390625" style="0" customWidth="1"/>
    <col min="13062" max="13062" width="8.140625" style="0" customWidth="1"/>
    <col min="13063" max="13064" width="11.7109375" style="0" customWidth="1"/>
    <col min="13065" max="13065" width="8.00390625" style="0" customWidth="1"/>
    <col min="13067" max="13067" width="1.28515625" style="0" customWidth="1"/>
    <col min="13069" max="13069" width="32.140625" style="0" customWidth="1"/>
    <col min="13070" max="13070" width="19.28125" style="0" customWidth="1"/>
    <col min="13071" max="13071" width="6.8515625" style="0" customWidth="1"/>
    <col min="13072" max="13072" width="6.28125" style="0" customWidth="1"/>
    <col min="13073" max="13074" width="6.57421875" style="0" customWidth="1"/>
    <col min="13075" max="13075" width="5.7109375" style="0" customWidth="1"/>
    <col min="13076" max="13076" width="6.140625" style="0" customWidth="1"/>
    <col min="13077" max="13077" width="7.00390625" style="0" customWidth="1"/>
    <col min="13078" max="13078" width="7.28125" style="0" customWidth="1"/>
    <col min="13079" max="13079" width="8.28125" style="0" customWidth="1"/>
    <col min="13080" max="13080" width="10.28125" style="0" customWidth="1"/>
    <col min="13313" max="13313" width="4.8515625" style="0" customWidth="1"/>
    <col min="13314" max="13314" width="11.140625" style="0" customWidth="1"/>
    <col min="13315" max="13315" width="65.28125" style="0" customWidth="1"/>
    <col min="13316" max="13316" width="4.7109375" style="0" customWidth="1"/>
    <col min="13317" max="13317" width="9.00390625" style="0" customWidth="1"/>
    <col min="13318" max="13318" width="8.140625" style="0" customWidth="1"/>
    <col min="13319" max="13320" width="11.7109375" style="0" customWidth="1"/>
    <col min="13321" max="13321" width="8.00390625" style="0" customWidth="1"/>
    <col min="13323" max="13323" width="1.28515625" style="0" customWidth="1"/>
    <col min="13325" max="13325" width="32.140625" style="0" customWidth="1"/>
    <col min="13326" max="13326" width="19.28125" style="0" customWidth="1"/>
    <col min="13327" max="13327" width="6.8515625" style="0" customWidth="1"/>
    <col min="13328" max="13328" width="6.28125" style="0" customWidth="1"/>
    <col min="13329" max="13330" width="6.57421875" style="0" customWidth="1"/>
    <col min="13331" max="13331" width="5.7109375" style="0" customWidth="1"/>
    <col min="13332" max="13332" width="6.140625" style="0" customWidth="1"/>
    <col min="13333" max="13333" width="7.00390625" style="0" customWidth="1"/>
    <col min="13334" max="13334" width="7.28125" style="0" customWidth="1"/>
    <col min="13335" max="13335" width="8.28125" style="0" customWidth="1"/>
    <col min="13336" max="13336" width="10.28125" style="0" customWidth="1"/>
    <col min="13569" max="13569" width="4.8515625" style="0" customWidth="1"/>
    <col min="13570" max="13570" width="11.140625" style="0" customWidth="1"/>
    <col min="13571" max="13571" width="65.28125" style="0" customWidth="1"/>
    <col min="13572" max="13572" width="4.7109375" style="0" customWidth="1"/>
    <col min="13573" max="13573" width="9.00390625" style="0" customWidth="1"/>
    <col min="13574" max="13574" width="8.140625" style="0" customWidth="1"/>
    <col min="13575" max="13576" width="11.7109375" style="0" customWidth="1"/>
    <col min="13577" max="13577" width="8.00390625" style="0" customWidth="1"/>
    <col min="13579" max="13579" width="1.28515625" style="0" customWidth="1"/>
    <col min="13581" max="13581" width="32.140625" style="0" customWidth="1"/>
    <col min="13582" max="13582" width="19.28125" style="0" customWidth="1"/>
    <col min="13583" max="13583" width="6.8515625" style="0" customWidth="1"/>
    <col min="13584" max="13584" width="6.28125" style="0" customWidth="1"/>
    <col min="13585" max="13586" width="6.57421875" style="0" customWidth="1"/>
    <col min="13587" max="13587" width="5.7109375" style="0" customWidth="1"/>
    <col min="13588" max="13588" width="6.140625" style="0" customWidth="1"/>
    <col min="13589" max="13589" width="7.00390625" style="0" customWidth="1"/>
    <col min="13590" max="13590" width="7.28125" style="0" customWidth="1"/>
    <col min="13591" max="13591" width="8.28125" style="0" customWidth="1"/>
    <col min="13592" max="13592" width="10.28125" style="0" customWidth="1"/>
    <col min="13825" max="13825" width="4.8515625" style="0" customWidth="1"/>
    <col min="13826" max="13826" width="11.140625" style="0" customWidth="1"/>
    <col min="13827" max="13827" width="65.28125" style="0" customWidth="1"/>
    <col min="13828" max="13828" width="4.7109375" style="0" customWidth="1"/>
    <col min="13829" max="13829" width="9.00390625" style="0" customWidth="1"/>
    <col min="13830" max="13830" width="8.140625" style="0" customWidth="1"/>
    <col min="13831" max="13832" width="11.7109375" style="0" customWidth="1"/>
    <col min="13833" max="13833" width="8.00390625" style="0" customWidth="1"/>
    <col min="13835" max="13835" width="1.28515625" style="0" customWidth="1"/>
    <col min="13837" max="13837" width="32.140625" style="0" customWidth="1"/>
    <col min="13838" max="13838" width="19.28125" style="0" customWidth="1"/>
    <col min="13839" max="13839" width="6.8515625" style="0" customWidth="1"/>
    <col min="13840" max="13840" width="6.28125" style="0" customWidth="1"/>
    <col min="13841" max="13842" width="6.57421875" style="0" customWidth="1"/>
    <col min="13843" max="13843" width="5.7109375" style="0" customWidth="1"/>
    <col min="13844" max="13844" width="6.140625" style="0" customWidth="1"/>
    <col min="13845" max="13845" width="7.00390625" style="0" customWidth="1"/>
    <col min="13846" max="13846" width="7.28125" style="0" customWidth="1"/>
    <col min="13847" max="13847" width="8.28125" style="0" customWidth="1"/>
    <col min="13848" max="13848" width="10.28125" style="0" customWidth="1"/>
    <col min="14081" max="14081" width="4.8515625" style="0" customWidth="1"/>
    <col min="14082" max="14082" width="11.140625" style="0" customWidth="1"/>
    <col min="14083" max="14083" width="65.28125" style="0" customWidth="1"/>
    <col min="14084" max="14084" width="4.7109375" style="0" customWidth="1"/>
    <col min="14085" max="14085" width="9.00390625" style="0" customWidth="1"/>
    <col min="14086" max="14086" width="8.140625" style="0" customWidth="1"/>
    <col min="14087" max="14088" width="11.7109375" style="0" customWidth="1"/>
    <col min="14089" max="14089" width="8.00390625" style="0" customWidth="1"/>
    <col min="14091" max="14091" width="1.28515625" style="0" customWidth="1"/>
    <col min="14093" max="14093" width="32.140625" style="0" customWidth="1"/>
    <col min="14094" max="14094" width="19.28125" style="0" customWidth="1"/>
    <col min="14095" max="14095" width="6.8515625" style="0" customWidth="1"/>
    <col min="14096" max="14096" width="6.28125" style="0" customWidth="1"/>
    <col min="14097" max="14098" width="6.57421875" style="0" customWidth="1"/>
    <col min="14099" max="14099" width="5.7109375" style="0" customWidth="1"/>
    <col min="14100" max="14100" width="6.140625" style="0" customWidth="1"/>
    <col min="14101" max="14101" width="7.00390625" style="0" customWidth="1"/>
    <col min="14102" max="14102" width="7.28125" style="0" customWidth="1"/>
    <col min="14103" max="14103" width="8.28125" style="0" customWidth="1"/>
    <col min="14104" max="14104" width="10.28125" style="0" customWidth="1"/>
    <col min="14337" max="14337" width="4.8515625" style="0" customWidth="1"/>
    <col min="14338" max="14338" width="11.140625" style="0" customWidth="1"/>
    <col min="14339" max="14339" width="65.28125" style="0" customWidth="1"/>
    <col min="14340" max="14340" width="4.7109375" style="0" customWidth="1"/>
    <col min="14341" max="14341" width="9.00390625" style="0" customWidth="1"/>
    <col min="14342" max="14342" width="8.140625" style="0" customWidth="1"/>
    <col min="14343" max="14344" width="11.7109375" style="0" customWidth="1"/>
    <col min="14345" max="14345" width="8.00390625" style="0" customWidth="1"/>
    <col min="14347" max="14347" width="1.28515625" style="0" customWidth="1"/>
    <col min="14349" max="14349" width="32.140625" style="0" customWidth="1"/>
    <col min="14350" max="14350" width="19.28125" style="0" customWidth="1"/>
    <col min="14351" max="14351" width="6.8515625" style="0" customWidth="1"/>
    <col min="14352" max="14352" width="6.28125" style="0" customWidth="1"/>
    <col min="14353" max="14354" width="6.57421875" style="0" customWidth="1"/>
    <col min="14355" max="14355" width="5.7109375" style="0" customWidth="1"/>
    <col min="14356" max="14356" width="6.140625" style="0" customWidth="1"/>
    <col min="14357" max="14357" width="7.00390625" style="0" customWidth="1"/>
    <col min="14358" max="14358" width="7.28125" style="0" customWidth="1"/>
    <col min="14359" max="14359" width="8.28125" style="0" customWidth="1"/>
    <col min="14360" max="14360" width="10.28125" style="0" customWidth="1"/>
    <col min="14593" max="14593" width="4.8515625" style="0" customWidth="1"/>
    <col min="14594" max="14594" width="11.140625" style="0" customWidth="1"/>
    <col min="14595" max="14595" width="65.28125" style="0" customWidth="1"/>
    <col min="14596" max="14596" width="4.7109375" style="0" customWidth="1"/>
    <col min="14597" max="14597" width="9.00390625" style="0" customWidth="1"/>
    <col min="14598" max="14598" width="8.140625" style="0" customWidth="1"/>
    <col min="14599" max="14600" width="11.7109375" style="0" customWidth="1"/>
    <col min="14601" max="14601" width="8.00390625" style="0" customWidth="1"/>
    <col min="14603" max="14603" width="1.28515625" style="0" customWidth="1"/>
    <col min="14605" max="14605" width="32.140625" style="0" customWidth="1"/>
    <col min="14606" max="14606" width="19.28125" style="0" customWidth="1"/>
    <col min="14607" max="14607" width="6.8515625" style="0" customWidth="1"/>
    <col min="14608" max="14608" width="6.28125" style="0" customWidth="1"/>
    <col min="14609" max="14610" width="6.57421875" style="0" customWidth="1"/>
    <col min="14611" max="14611" width="5.7109375" style="0" customWidth="1"/>
    <col min="14612" max="14612" width="6.140625" style="0" customWidth="1"/>
    <col min="14613" max="14613" width="7.00390625" style="0" customWidth="1"/>
    <col min="14614" max="14614" width="7.28125" style="0" customWidth="1"/>
    <col min="14615" max="14615" width="8.28125" style="0" customWidth="1"/>
    <col min="14616" max="14616" width="10.28125" style="0" customWidth="1"/>
    <col min="14849" max="14849" width="4.8515625" style="0" customWidth="1"/>
    <col min="14850" max="14850" width="11.140625" style="0" customWidth="1"/>
    <col min="14851" max="14851" width="65.28125" style="0" customWidth="1"/>
    <col min="14852" max="14852" width="4.7109375" style="0" customWidth="1"/>
    <col min="14853" max="14853" width="9.00390625" style="0" customWidth="1"/>
    <col min="14854" max="14854" width="8.140625" style="0" customWidth="1"/>
    <col min="14855" max="14856" width="11.7109375" style="0" customWidth="1"/>
    <col min="14857" max="14857" width="8.00390625" style="0" customWidth="1"/>
    <col min="14859" max="14859" width="1.28515625" style="0" customWidth="1"/>
    <col min="14861" max="14861" width="32.140625" style="0" customWidth="1"/>
    <col min="14862" max="14862" width="19.28125" style="0" customWidth="1"/>
    <col min="14863" max="14863" width="6.8515625" style="0" customWidth="1"/>
    <col min="14864" max="14864" width="6.28125" style="0" customWidth="1"/>
    <col min="14865" max="14866" width="6.57421875" style="0" customWidth="1"/>
    <col min="14867" max="14867" width="5.7109375" style="0" customWidth="1"/>
    <col min="14868" max="14868" width="6.140625" style="0" customWidth="1"/>
    <col min="14869" max="14869" width="7.00390625" style="0" customWidth="1"/>
    <col min="14870" max="14870" width="7.28125" style="0" customWidth="1"/>
    <col min="14871" max="14871" width="8.28125" style="0" customWidth="1"/>
    <col min="14872" max="14872" width="10.28125" style="0" customWidth="1"/>
    <col min="15105" max="15105" width="4.8515625" style="0" customWidth="1"/>
    <col min="15106" max="15106" width="11.140625" style="0" customWidth="1"/>
    <col min="15107" max="15107" width="65.28125" style="0" customWidth="1"/>
    <col min="15108" max="15108" width="4.7109375" style="0" customWidth="1"/>
    <col min="15109" max="15109" width="9.00390625" style="0" customWidth="1"/>
    <col min="15110" max="15110" width="8.140625" style="0" customWidth="1"/>
    <col min="15111" max="15112" width="11.7109375" style="0" customWidth="1"/>
    <col min="15113" max="15113" width="8.00390625" style="0" customWidth="1"/>
    <col min="15115" max="15115" width="1.28515625" style="0" customWidth="1"/>
    <col min="15117" max="15117" width="32.140625" style="0" customWidth="1"/>
    <col min="15118" max="15118" width="19.28125" style="0" customWidth="1"/>
    <col min="15119" max="15119" width="6.8515625" style="0" customWidth="1"/>
    <col min="15120" max="15120" width="6.28125" style="0" customWidth="1"/>
    <col min="15121" max="15122" width="6.57421875" style="0" customWidth="1"/>
    <col min="15123" max="15123" width="5.7109375" style="0" customWidth="1"/>
    <col min="15124" max="15124" width="6.140625" style="0" customWidth="1"/>
    <col min="15125" max="15125" width="7.00390625" style="0" customWidth="1"/>
    <col min="15126" max="15126" width="7.28125" style="0" customWidth="1"/>
    <col min="15127" max="15127" width="8.28125" style="0" customWidth="1"/>
    <col min="15128" max="15128" width="10.28125" style="0" customWidth="1"/>
    <col min="15361" max="15361" width="4.8515625" style="0" customWidth="1"/>
    <col min="15362" max="15362" width="11.140625" style="0" customWidth="1"/>
    <col min="15363" max="15363" width="65.28125" style="0" customWidth="1"/>
    <col min="15364" max="15364" width="4.7109375" style="0" customWidth="1"/>
    <col min="15365" max="15365" width="9.00390625" style="0" customWidth="1"/>
    <col min="15366" max="15366" width="8.140625" style="0" customWidth="1"/>
    <col min="15367" max="15368" width="11.7109375" style="0" customWidth="1"/>
    <col min="15369" max="15369" width="8.00390625" style="0" customWidth="1"/>
    <col min="15371" max="15371" width="1.28515625" style="0" customWidth="1"/>
    <col min="15373" max="15373" width="32.140625" style="0" customWidth="1"/>
    <col min="15374" max="15374" width="19.28125" style="0" customWidth="1"/>
    <col min="15375" max="15375" width="6.8515625" style="0" customWidth="1"/>
    <col min="15376" max="15376" width="6.28125" style="0" customWidth="1"/>
    <col min="15377" max="15378" width="6.57421875" style="0" customWidth="1"/>
    <col min="15379" max="15379" width="5.7109375" style="0" customWidth="1"/>
    <col min="15380" max="15380" width="6.140625" style="0" customWidth="1"/>
    <col min="15381" max="15381" width="7.00390625" style="0" customWidth="1"/>
    <col min="15382" max="15382" width="7.28125" style="0" customWidth="1"/>
    <col min="15383" max="15383" width="8.28125" style="0" customWidth="1"/>
    <col min="15384" max="15384" width="10.28125" style="0" customWidth="1"/>
    <col min="15617" max="15617" width="4.8515625" style="0" customWidth="1"/>
    <col min="15618" max="15618" width="11.140625" style="0" customWidth="1"/>
    <col min="15619" max="15619" width="65.28125" style="0" customWidth="1"/>
    <col min="15620" max="15620" width="4.7109375" style="0" customWidth="1"/>
    <col min="15621" max="15621" width="9.00390625" style="0" customWidth="1"/>
    <col min="15622" max="15622" width="8.140625" style="0" customWidth="1"/>
    <col min="15623" max="15624" width="11.7109375" style="0" customWidth="1"/>
    <col min="15625" max="15625" width="8.00390625" style="0" customWidth="1"/>
    <col min="15627" max="15627" width="1.28515625" style="0" customWidth="1"/>
    <col min="15629" max="15629" width="32.140625" style="0" customWidth="1"/>
    <col min="15630" max="15630" width="19.28125" style="0" customWidth="1"/>
    <col min="15631" max="15631" width="6.8515625" style="0" customWidth="1"/>
    <col min="15632" max="15632" width="6.28125" style="0" customWidth="1"/>
    <col min="15633" max="15634" width="6.57421875" style="0" customWidth="1"/>
    <col min="15635" max="15635" width="5.7109375" style="0" customWidth="1"/>
    <col min="15636" max="15636" width="6.140625" style="0" customWidth="1"/>
    <col min="15637" max="15637" width="7.00390625" style="0" customWidth="1"/>
    <col min="15638" max="15638" width="7.28125" style="0" customWidth="1"/>
    <col min="15639" max="15639" width="8.28125" style="0" customWidth="1"/>
    <col min="15640" max="15640" width="10.28125" style="0" customWidth="1"/>
    <col min="15873" max="15873" width="4.8515625" style="0" customWidth="1"/>
    <col min="15874" max="15874" width="11.140625" style="0" customWidth="1"/>
    <col min="15875" max="15875" width="65.28125" style="0" customWidth="1"/>
    <col min="15876" max="15876" width="4.7109375" style="0" customWidth="1"/>
    <col min="15877" max="15877" width="9.00390625" style="0" customWidth="1"/>
    <col min="15878" max="15878" width="8.140625" style="0" customWidth="1"/>
    <col min="15879" max="15880" width="11.7109375" style="0" customWidth="1"/>
    <col min="15881" max="15881" width="8.00390625" style="0" customWidth="1"/>
    <col min="15883" max="15883" width="1.28515625" style="0" customWidth="1"/>
    <col min="15885" max="15885" width="32.140625" style="0" customWidth="1"/>
    <col min="15886" max="15886" width="19.28125" style="0" customWidth="1"/>
    <col min="15887" max="15887" width="6.8515625" style="0" customWidth="1"/>
    <col min="15888" max="15888" width="6.28125" style="0" customWidth="1"/>
    <col min="15889" max="15890" width="6.57421875" style="0" customWidth="1"/>
    <col min="15891" max="15891" width="5.7109375" style="0" customWidth="1"/>
    <col min="15892" max="15892" width="6.140625" style="0" customWidth="1"/>
    <col min="15893" max="15893" width="7.00390625" style="0" customWidth="1"/>
    <col min="15894" max="15894" width="7.28125" style="0" customWidth="1"/>
    <col min="15895" max="15895" width="8.28125" style="0" customWidth="1"/>
    <col min="15896" max="15896" width="10.28125" style="0" customWidth="1"/>
    <col min="16129" max="16129" width="4.8515625" style="0" customWidth="1"/>
    <col min="16130" max="16130" width="11.140625" style="0" customWidth="1"/>
    <col min="16131" max="16131" width="65.28125" style="0" customWidth="1"/>
    <col min="16132" max="16132" width="4.7109375" style="0" customWidth="1"/>
    <col min="16133" max="16133" width="9.00390625" style="0" customWidth="1"/>
    <col min="16134" max="16134" width="8.140625" style="0" customWidth="1"/>
    <col min="16135" max="16136" width="11.7109375" style="0" customWidth="1"/>
    <col min="16137" max="16137" width="8.00390625" style="0" customWidth="1"/>
    <col min="16139" max="16139" width="1.28515625" style="0" customWidth="1"/>
    <col min="16141" max="16141" width="32.140625" style="0" customWidth="1"/>
    <col min="16142" max="16142" width="19.28125" style="0" customWidth="1"/>
    <col min="16143" max="16143" width="6.8515625" style="0" customWidth="1"/>
    <col min="16144" max="16144" width="6.28125" style="0" customWidth="1"/>
    <col min="16145" max="16146" width="6.57421875" style="0" customWidth="1"/>
    <col min="16147" max="16147" width="5.7109375" style="0" customWidth="1"/>
    <col min="16148" max="16148" width="6.140625" style="0" customWidth="1"/>
    <col min="16149" max="16149" width="7.00390625" style="0" customWidth="1"/>
    <col min="16150" max="16150" width="7.28125" style="0" customWidth="1"/>
    <col min="16151" max="16151" width="8.28125" style="0" customWidth="1"/>
    <col min="16152" max="16152" width="10.28125" style="0" customWidth="1"/>
  </cols>
  <sheetData>
    <row r="1" spans="1:10" ht="34.95" customHeight="1" thickBot="1">
      <c r="A1" s="652" t="s">
        <v>1986</v>
      </c>
      <c r="B1" s="653"/>
      <c r="C1" s="653"/>
      <c r="D1" s="653"/>
      <c r="E1" s="653"/>
      <c r="F1" s="653"/>
      <c r="G1" s="653"/>
      <c r="H1" s="653"/>
      <c r="I1" s="653"/>
      <c r="J1" s="653"/>
    </row>
    <row r="2" spans="1:14" ht="12.75" customHeight="1" thickBot="1" thickTop="1">
      <c r="A2" s="654" t="s">
        <v>1987</v>
      </c>
      <c r="B2" s="655" t="s">
        <v>1988</v>
      </c>
      <c r="C2" s="655" t="s">
        <v>1989</v>
      </c>
      <c r="D2" s="655" t="s">
        <v>1990</v>
      </c>
      <c r="E2" s="655" t="s">
        <v>23</v>
      </c>
      <c r="F2" s="655" t="s">
        <v>1991</v>
      </c>
      <c r="G2" s="655"/>
      <c r="H2" s="655"/>
      <c r="I2" s="656" t="s">
        <v>1992</v>
      </c>
      <c r="J2" s="657"/>
      <c r="K2" s="658" t="s">
        <v>2473</v>
      </c>
      <c r="L2" s="59"/>
      <c r="M2" s="59"/>
      <c r="N2" s="59"/>
    </row>
    <row r="3" spans="1:11" ht="12.75" customHeight="1" thickBot="1" thickTop="1">
      <c r="A3" s="654"/>
      <c r="B3" s="655"/>
      <c r="C3" s="655"/>
      <c r="D3" s="655"/>
      <c r="E3" s="655"/>
      <c r="F3" s="649" t="s">
        <v>1993</v>
      </c>
      <c r="G3" s="649" t="s">
        <v>1994</v>
      </c>
      <c r="H3" s="649"/>
      <c r="I3" s="649" t="s">
        <v>1995</v>
      </c>
      <c r="J3" s="650" t="s">
        <v>1996</v>
      </c>
      <c r="K3" s="659"/>
    </row>
    <row r="4" spans="1:11" ht="15" thickTop="1">
      <c r="A4" s="654"/>
      <c r="B4" s="655"/>
      <c r="C4" s="655"/>
      <c r="D4" s="655"/>
      <c r="E4" s="655"/>
      <c r="F4" s="655"/>
      <c r="G4" s="406" t="s">
        <v>1997</v>
      </c>
      <c r="H4" s="406" t="s">
        <v>1998</v>
      </c>
      <c r="I4" s="649"/>
      <c r="J4" s="650"/>
      <c r="K4" s="659"/>
    </row>
    <row r="5" spans="1:12" ht="15" thickBot="1">
      <c r="A5" s="407">
        <v>1</v>
      </c>
      <c r="B5" s="408">
        <v>2</v>
      </c>
      <c r="C5" s="408">
        <v>3</v>
      </c>
      <c r="D5" s="408">
        <v>4</v>
      </c>
      <c r="E5" s="408">
        <v>5</v>
      </c>
      <c r="F5" s="408">
        <v>6</v>
      </c>
      <c r="G5" s="408">
        <v>7</v>
      </c>
      <c r="H5" s="408">
        <v>8</v>
      </c>
      <c r="I5" s="408">
        <v>9</v>
      </c>
      <c r="J5" s="380">
        <v>10</v>
      </c>
      <c r="K5" s="511">
        <v>11</v>
      </c>
      <c r="L5" s="158"/>
    </row>
    <row r="6" spans="1:11" ht="13.95" customHeight="1" hidden="1">
      <c r="A6" s="100"/>
      <c r="B6" s="101"/>
      <c r="C6" s="102"/>
      <c r="D6" s="103"/>
      <c r="E6" s="104"/>
      <c r="F6" s="105"/>
      <c r="G6" s="104"/>
      <c r="H6" s="105"/>
      <c r="I6" s="106"/>
      <c r="J6" s="381"/>
      <c r="K6" s="510"/>
    </row>
    <row r="7" spans="1:11" ht="12" customHeight="1" hidden="1">
      <c r="A7" s="107"/>
      <c r="B7" s="101"/>
      <c r="C7" s="108"/>
      <c r="D7" s="109"/>
      <c r="E7" s="110"/>
      <c r="F7" s="111"/>
      <c r="G7" s="110"/>
      <c r="H7" s="111"/>
      <c r="I7" s="112"/>
      <c r="J7" s="382"/>
      <c r="K7" s="397"/>
    </row>
    <row r="8" spans="1:11" ht="12.75" customHeight="1" hidden="1">
      <c r="A8" s="107"/>
      <c r="B8" s="101"/>
      <c r="C8" s="108"/>
      <c r="D8" s="109"/>
      <c r="E8" s="110"/>
      <c r="F8" s="111"/>
      <c r="G8" s="110"/>
      <c r="H8" s="111"/>
      <c r="I8" s="112"/>
      <c r="J8" s="382"/>
      <c r="K8" s="398"/>
    </row>
    <row r="9" spans="1:11" ht="13.95" customHeight="1" hidden="1">
      <c r="A9" s="113"/>
      <c r="B9" s="114"/>
      <c r="C9" s="115"/>
      <c r="D9" s="114"/>
      <c r="E9" s="116"/>
      <c r="F9" s="117"/>
      <c r="G9" s="116"/>
      <c r="H9" s="117"/>
      <c r="I9" s="118"/>
      <c r="J9" s="383"/>
      <c r="K9" s="398"/>
    </row>
    <row r="10" spans="1:11" s="119" customFormat="1" ht="12.75" customHeight="1" hidden="1">
      <c r="A10" s="113"/>
      <c r="B10" s="114"/>
      <c r="C10" s="115"/>
      <c r="D10" s="114"/>
      <c r="E10" s="116"/>
      <c r="F10" s="117"/>
      <c r="G10" s="116"/>
      <c r="H10" s="117"/>
      <c r="I10" s="118"/>
      <c r="J10" s="383"/>
      <c r="K10" s="397"/>
    </row>
    <row r="11" spans="1:11" s="119" customFormat="1" ht="12.75" customHeight="1" hidden="1">
      <c r="A11" s="113"/>
      <c r="B11" s="114"/>
      <c r="C11" s="108"/>
      <c r="D11" s="114"/>
      <c r="E11" s="116"/>
      <c r="F11" s="117"/>
      <c r="G11" s="116"/>
      <c r="H11" s="117"/>
      <c r="I11" s="118"/>
      <c r="J11" s="383"/>
      <c r="K11" s="398"/>
    </row>
    <row r="12" spans="1:11" s="119" customFormat="1" ht="12.75" customHeight="1" hidden="1">
      <c r="A12" s="113"/>
      <c r="B12" s="114"/>
      <c r="C12" s="108"/>
      <c r="D12" s="114"/>
      <c r="E12" s="116"/>
      <c r="F12" s="117"/>
      <c r="G12" s="116"/>
      <c r="H12" s="117"/>
      <c r="I12" s="118"/>
      <c r="J12" s="383"/>
      <c r="K12" s="398"/>
    </row>
    <row r="13" spans="1:11" s="119" customFormat="1" ht="12.75" customHeight="1" hidden="1">
      <c r="A13" s="113"/>
      <c r="B13" s="114"/>
      <c r="C13" s="115"/>
      <c r="D13" s="114"/>
      <c r="E13" s="116"/>
      <c r="F13" s="117"/>
      <c r="G13" s="116"/>
      <c r="H13" s="117"/>
      <c r="I13" s="118"/>
      <c r="J13" s="383"/>
      <c r="K13" s="398"/>
    </row>
    <row r="14" spans="1:24" s="119" customFormat="1" ht="12.75" customHeight="1">
      <c r="A14" s="488"/>
      <c r="B14" s="489" t="s">
        <v>1999</v>
      </c>
      <c r="C14" s="490" t="s">
        <v>2000</v>
      </c>
      <c r="D14" s="491"/>
      <c r="E14" s="492"/>
      <c r="F14" s="493"/>
      <c r="G14" s="492"/>
      <c r="H14" s="493"/>
      <c r="I14" s="494"/>
      <c r="J14" s="495"/>
      <c r="K14" s="399"/>
      <c r="L14" s="159"/>
      <c r="M14" s="160"/>
      <c r="N14" s="160"/>
      <c r="O14" s="160"/>
      <c r="P14" s="160"/>
      <c r="Q14" s="160"/>
      <c r="R14" s="160"/>
      <c r="S14" s="161"/>
      <c r="T14" s="160"/>
      <c r="U14" s="160"/>
      <c r="V14" s="162"/>
      <c r="W14" s="160"/>
      <c r="X14" s="160"/>
    </row>
    <row r="15" spans="1:24" s="119" customFormat="1" ht="12.75" customHeight="1">
      <c r="A15" s="107"/>
      <c r="B15" s="101"/>
      <c r="C15" s="120" t="s">
        <v>2001</v>
      </c>
      <c r="D15" s="109"/>
      <c r="E15" s="110"/>
      <c r="F15" s="111"/>
      <c r="G15" s="110"/>
      <c r="H15" s="111"/>
      <c r="I15" s="112"/>
      <c r="J15" s="382"/>
      <c r="K15" s="400"/>
      <c r="L15" s="163"/>
      <c r="M15" s="163"/>
      <c r="N15" s="163"/>
      <c r="O15" s="163"/>
      <c r="P15" s="163"/>
      <c r="Q15" s="163"/>
      <c r="R15" s="163"/>
      <c r="S15" s="163"/>
      <c r="T15" s="163"/>
      <c r="U15" s="163"/>
      <c r="V15" s="164"/>
      <c r="W15" s="163"/>
      <c r="X15" s="163"/>
    </row>
    <row r="16" spans="1:24" s="119" customFormat="1" ht="12.75" customHeight="1">
      <c r="A16" s="107"/>
      <c r="B16" s="101"/>
      <c r="C16" s="120" t="s">
        <v>2002</v>
      </c>
      <c r="D16" s="109"/>
      <c r="E16" s="110"/>
      <c r="F16" s="111"/>
      <c r="G16" s="110"/>
      <c r="H16" s="111"/>
      <c r="I16" s="112"/>
      <c r="J16" s="382"/>
      <c r="K16" s="400"/>
      <c r="L16" s="163"/>
      <c r="M16" s="163"/>
      <c r="N16" s="163"/>
      <c r="O16" s="163"/>
      <c r="P16" s="163"/>
      <c r="Q16" s="163"/>
      <c r="R16" s="163"/>
      <c r="S16" s="651"/>
      <c r="T16" s="163"/>
      <c r="U16" s="163"/>
      <c r="V16" s="164"/>
      <c r="W16" s="163"/>
      <c r="X16" s="163"/>
    </row>
    <row r="17" spans="1:24" s="119" customFormat="1" ht="12.75" customHeight="1">
      <c r="A17" s="113">
        <v>1</v>
      </c>
      <c r="B17" s="114">
        <v>162751117</v>
      </c>
      <c r="C17" s="115" t="s">
        <v>2003</v>
      </c>
      <c r="D17" s="114" t="s">
        <v>2004</v>
      </c>
      <c r="E17" s="116">
        <v>500.75</v>
      </c>
      <c r="F17" s="513"/>
      <c r="G17" s="116"/>
      <c r="H17" s="111">
        <f>E17*F17</f>
        <v>0</v>
      </c>
      <c r="I17" s="118">
        <v>0</v>
      </c>
      <c r="J17" s="383">
        <f>E17*I17</f>
        <v>0</v>
      </c>
      <c r="K17" s="512" t="s">
        <v>2474</v>
      </c>
      <c r="L17" s="165"/>
      <c r="M17" s="165"/>
      <c r="N17" s="163"/>
      <c r="O17" s="163"/>
      <c r="P17" s="163"/>
      <c r="Q17" s="163"/>
      <c r="R17" s="163"/>
      <c r="S17" s="651"/>
      <c r="T17" s="163"/>
      <c r="U17" s="163"/>
      <c r="V17" s="164"/>
      <c r="W17" s="163"/>
      <c r="X17" s="163"/>
    </row>
    <row r="18" spans="1:24" s="119" customFormat="1" ht="12.75" customHeight="1">
      <c r="A18" s="113"/>
      <c r="B18" s="114"/>
      <c r="C18" s="115" t="s">
        <v>2005</v>
      </c>
      <c r="D18" s="114"/>
      <c r="E18" s="116"/>
      <c r="F18" s="117"/>
      <c r="G18" s="116"/>
      <c r="H18" s="117"/>
      <c r="I18" s="118"/>
      <c r="J18" s="383"/>
      <c r="K18" s="400"/>
      <c r="L18" s="166"/>
      <c r="M18" s="167"/>
      <c r="N18" s="168"/>
      <c r="O18" s="168"/>
      <c r="P18" s="168"/>
      <c r="Q18" s="168"/>
      <c r="R18" s="168"/>
      <c r="S18" s="169"/>
      <c r="T18" s="168"/>
      <c r="U18" s="168"/>
      <c r="V18" s="170"/>
      <c r="W18" s="166"/>
      <c r="X18" s="171"/>
    </row>
    <row r="19" spans="1:24" s="119" customFormat="1" ht="12.75" customHeight="1">
      <c r="A19" s="113"/>
      <c r="B19" s="114"/>
      <c r="C19" s="120" t="s">
        <v>2002</v>
      </c>
      <c r="D19" s="114"/>
      <c r="E19" s="116"/>
      <c r="F19" s="117"/>
      <c r="G19" s="116"/>
      <c r="H19" s="117"/>
      <c r="I19" s="118"/>
      <c r="J19" s="383"/>
      <c r="K19" s="400"/>
      <c r="L19" s="172"/>
      <c r="M19" s="173"/>
      <c r="N19" s="174"/>
      <c r="O19" s="174"/>
      <c r="P19" s="174"/>
      <c r="Q19" s="174"/>
      <c r="R19" s="174"/>
      <c r="S19" s="175"/>
      <c r="T19" s="174"/>
      <c r="U19" s="174"/>
      <c r="V19" s="176"/>
      <c r="W19" s="177"/>
      <c r="X19" s="178"/>
    </row>
    <row r="20" spans="1:24" s="119" customFormat="1" ht="12.75" customHeight="1">
      <c r="A20" s="113">
        <v>2</v>
      </c>
      <c r="B20" s="409">
        <v>162751119</v>
      </c>
      <c r="C20" s="410" t="s">
        <v>2006</v>
      </c>
      <c r="D20" s="114" t="s">
        <v>2004</v>
      </c>
      <c r="E20" s="116">
        <f>E17</f>
        <v>500.75</v>
      </c>
      <c r="F20" s="513"/>
      <c r="G20" s="116"/>
      <c r="H20" s="117">
        <f>E20*F20</f>
        <v>0</v>
      </c>
      <c r="I20" s="118">
        <v>0</v>
      </c>
      <c r="J20" s="383">
        <f>E20*I20</f>
        <v>0</v>
      </c>
      <c r="K20" s="512" t="s">
        <v>2474</v>
      </c>
      <c r="L20" s="179"/>
      <c r="M20" s="180"/>
      <c r="N20" s="174"/>
      <c r="O20" s="181"/>
      <c r="P20" s="174"/>
      <c r="Q20" s="182"/>
      <c r="R20" s="174"/>
      <c r="S20" s="183"/>
      <c r="T20" s="184"/>
      <c r="U20" s="185"/>
      <c r="V20" s="186"/>
      <c r="W20" s="187"/>
      <c r="X20" s="188"/>
    </row>
    <row r="21" spans="1:24" s="119" customFormat="1" ht="12.75" customHeight="1">
      <c r="A21" s="113"/>
      <c r="B21" s="114"/>
      <c r="C21" s="121" t="s">
        <v>2007</v>
      </c>
      <c r="D21" s="114"/>
      <c r="E21" s="116"/>
      <c r="F21" s="117"/>
      <c r="G21" s="116"/>
      <c r="H21" s="117"/>
      <c r="I21" s="118"/>
      <c r="J21" s="383"/>
      <c r="K21" s="400"/>
      <c r="L21" s="179"/>
      <c r="M21" s="180"/>
      <c r="N21" s="174"/>
      <c r="O21" s="181"/>
      <c r="P21" s="174"/>
      <c r="Q21" s="182"/>
      <c r="R21" s="174"/>
      <c r="S21" s="183"/>
      <c r="T21" s="184"/>
      <c r="U21" s="185"/>
      <c r="V21" s="186"/>
      <c r="W21" s="187"/>
      <c r="X21" s="188"/>
    </row>
    <row r="22" spans="1:24" s="119" customFormat="1" ht="12.75" customHeight="1">
      <c r="A22" s="113"/>
      <c r="B22" s="114"/>
      <c r="C22" s="120" t="s">
        <v>2002</v>
      </c>
      <c r="D22" s="114"/>
      <c r="E22" s="116"/>
      <c r="F22" s="117"/>
      <c r="G22" s="116"/>
      <c r="H22" s="117"/>
      <c r="I22" s="118"/>
      <c r="J22" s="383"/>
      <c r="K22" s="400"/>
      <c r="L22" s="172"/>
      <c r="M22" s="173"/>
      <c r="N22" s="174"/>
      <c r="O22" s="174"/>
      <c r="P22" s="174"/>
      <c r="Q22" s="174"/>
      <c r="R22" s="174"/>
      <c r="S22" s="189"/>
      <c r="T22" s="174"/>
      <c r="U22" s="174"/>
      <c r="V22" s="176"/>
      <c r="W22" s="177"/>
      <c r="X22" s="178"/>
    </row>
    <row r="23" spans="1:24" s="119" customFormat="1" ht="12.75" customHeight="1">
      <c r="A23" s="113"/>
      <c r="B23" s="114"/>
      <c r="C23" s="108"/>
      <c r="D23" s="114"/>
      <c r="E23" s="116"/>
      <c r="F23" s="117"/>
      <c r="G23" s="116"/>
      <c r="H23" s="117"/>
      <c r="I23" s="118"/>
      <c r="J23" s="383"/>
      <c r="K23" s="400"/>
      <c r="L23" s="179"/>
      <c r="M23" s="180"/>
      <c r="N23" s="174"/>
      <c r="O23" s="174"/>
      <c r="P23" s="184"/>
      <c r="Q23" s="182"/>
      <c r="R23" s="174"/>
      <c r="S23" s="183"/>
      <c r="T23" s="184"/>
      <c r="U23" s="185"/>
      <c r="V23" s="186"/>
      <c r="W23" s="190"/>
      <c r="X23" s="188"/>
    </row>
    <row r="24" spans="1:24" s="119" customFormat="1" ht="12.75" customHeight="1">
      <c r="A24" s="113">
        <v>3</v>
      </c>
      <c r="B24" s="114">
        <v>16715111</v>
      </c>
      <c r="C24" s="115" t="s">
        <v>2008</v>
      </c>
      <c r="D24" s="114" t="s">
        <v>2004</v>
      </c>
      <c r="E24" s="116">
        <v>500.75</v>
      </c>
      <c r="F24" s="513"/>
      <c r="G24" s="116"/>
      <c r="H24" s="117">
        <f>E24*F24</f>
        <v>0</v>
      </c>
      <c r="I24" s="118">
        <v>0</v>
      </c>
      <c r="J24" s="383">
        <f>E24*I24</f>
        <v>0</v>
      </c>
      <c r="K24" s="512" t="s">
        <v>2474</v>
      </c>
      <c r="L24" s="179"/>
      <c r="M24" s="180"/>
      <c r="N24" s="174"/>
      <c r="O24" s="174"/>
      <c r="P24" s="184"/>
      <c r="Q24" s="182"/>
      <c r="R24" s="174"/>
      <c r="S24" s="183"/>
      <c r="T24" s="184"/>
      <c r="U24" s="185"/>
      <c r="V24" s="186"/>
      <c r="W24" s="190"/>
      <c r="X24" s="188"/>
    </row>
    <row r="25" spans="1:24" s="119" customFormat="1" ht="12.75" customHeight="1">
      <c r="A25" s="113"/>
      <c r="B25" s="114"/>
      <c r="C25" s="120" t="s">
        <v>2002</v>
      </c>
      <c r="D25" s="114"/>
      <c r="E25" s="116"/>
      <c r="F25" s="117"/>
      <c r="G25" s="116"/>
      <c r="H25" s="117"/>
      <c r="I25" s="118"/>
      <c r="J25" s="383"/>
      <c r="K25" s="400"/>
      <c r="L25" s="179"/>
      <c r="M25" s="180"/>
      <c r="N25" s="174"/>
      <c r="O25" s="174"/>
      <c r="P25" s="184"/>
      <c r="Q25" s="182"/>
      <c r="R25" s="174"/>
      <c r="S25" s="183"/>
      <c r="T25" s="184"/>
      <c r="U25" s="185"/>
      <c r="V25" s="186"/>
      <c r="W25" s="190"/>
      <c r="X25" s="188"/>
    </row>
    <row r="26" spans="1:24" s="119" customFormat="1" ht="12.75" customHeight="1">
      <c r="A26" s="113"/>
      <c r="B26" s="114"/>
      <c r="C26" s="122" t="s">
        <v>2009</v>
      </c>
      <c r="D26" s="114"/>
      <c r="E26" s="116"/>
      <c r="F26" s="117"/>
      <c r="G26" s="116"/>
      <c r="H26" s="123">
        <f>SUM(H14:H25)</f>
        <v>0</v>
      </c>
      <c r="I26" s="118"/>
      <c r="J26" s="384">
        <f>SUM(J15:J25)</f>
        <v>0</v>
      </c>
      <c r="K26" s="401"/>
      <c r="L26" s="179"/>
      <c r="M26" s="191"/>
      <c r="N26" s="174"/>
      <c r="O26" s="174"/>
      <c r="P26" s="174"/>
      <c r="Q26" s="182"/>
      <c r="R26" s="174"/>
      <c r="S26" s="189"/>
      <c r="T26" s="184"/>
      <c r="U26" s="185"/>
      <c r="V26" s="192"/>
      <c r="W26" s="190"/>
      <c r="X26" s="178"/>
    </row>
    <row r="27" spans="1:24" s="119" customFormat="1" ht="12.75" customHeight="1">
      <c r="A27" s="496"/>
      <c r="B27" s="489" t="s">
        <v>2010</v>
      </c>
      <c r="C27" s="490" t="s">
        <v>2011</v>
      </c>
      <c r="D27" s="497"/>
      <c r="E27" s="498"/>
      <c r="F27" s="499"/>
      <c r="G27" s="500"/>
      <c r="H27" s="500"/>
      <c r="I27" s="501"/>
      <c r="J27" s="502"/>
      <c r="K27" s="503"/>
      <c r="L27" s="179"/>
      <c r="M27" s="180"/>
      <c r="N27" s="174"/>
      <c r="O27" s="174"/>
      <c r="P27" s="184"/>
      <c r="Q27" s="182"/>
      <c r="R27" s="174"/>
      <c r="S27" s="183"/>
      <c r="T27" s="184"/>
      <c r="U27" s="185"/>
      <c r="V27" s="186"/>
      <c r="W27" s="190"/>
      <c r="X27" s="188"/>
    </row>
    <row r="28" spans="1:11" s="119" customFormat="1" ht="12.75" customHeight="1">
      <c r="A28" s="124">
        <v>4</v>
      </c>
      <c r="B28" s="126">
        <v>181351103</v>
      </c>
      <c r="C28" s="414" t="s">
        <v>2012</v>
      </c>
      <c r="D28" s="411" t="s">
        <v>2013</v>
      </c>
      <c r="E28" s="127">
        <v>2728</v>
      </c>
      <c r="F28" s="514"/>
      <c r="G28" s="128"/>
      <c r="H28" s="415">
        <f>E28*F28</f>
        <v>0</v>
      </c>
      <c r="I28" s="416">
        <v>0</v>
      </c>
      <c r="J28" s="386">
        <f>E28*I28</f>
        <v>0</v>
      </c>
      <c r="K28" s="512" t="s">
        <v>2474</v>
      </c>
    </row>
    <row r="29" spans="1:11" s="119" customFormat="1" ht="12.75" customHeight="1">
      <c r="A29" s="417"/>
      <c r="B29" s="418"/>
      <c r="C29" s="414" t="s">
        <v>2014</v>
      </c>
      <c r="D29" s="411"/>
      <c r="E29" s="419"/>
      <c r="F29" s="420"/>
      <c r="G29" s="412"/>
      <c r="H29" s="421"/>
      <c r="I29" s="129"/>
      <c r="J29" s="386"/>
      <c r="K29" s="401"/>
    </row>
    <row r="30" spans="1:11" s="119" customFormat="1" ht="12.75" customHeight="1">
      <c r="A30" s="417"/>
      <c r="B30" s="418"/>
      <c r="C30" s="108" t="s">
        <v>2015</v>
      </c>
      <c r="D30" s="411"/>
      <c r="E30" s="419"/>
      <c r="F30" s="420"/>
      <c r="G30" s="412"/>
      <c r="H30" s="421"/>
      <c r="I30" s="129"/>
      <c r="J30" s="386"/>
      <c r="K30" s="401"/>
    </row>
    <row r="31" spans="1:11" s="119" customFormat="1" ht="12.75" customHeight="1">
      <c r="A31" s="124">
        <v>5</v>
      </c>
      <c r="B31" s="422">
        <v>182351123</v>
      </c>
      <c r="C31" s="414" t="s">
        <v>2016</v>
      </c>
      <c r="D31" s="411" t="s">
        <v>2013</v>
      </c>
      <c r="E31" s="127">
        <v>590</v>
      </c>
      <c r="F31" s="514"/>
      <c r="G31" s="128"/>
      <c r="H31" s="415">
        <f>E31*F31</f>
        <v>0</v>
      </c>
      <c r="I31" s="416">
        <v>0</v>
      </c>
      <c r="J31" s="386">
        <f>E31*I31</f>
        <v>0</v>
      </c>
      <c r="K31" s="512" t="s">
        <v>2474</v>
      </c>
    </row>
    <row r="32" spans="1:11" s="119" customFormat="1" ht="12.75" customHeight="1">
      <c r="A32" s="417"/>
      <c r="B32" s="418"/>
      <c r="C32" s="414" t="s">
        <v>2014</v>
      </c>
      <c r="D32" s="411"/>
      <c r="E32" s="419"/>
      <c r="F32" s="420"/>
      <c r="G32" s="412"/>
      <c r="H32" s="421"/>
      <c r="I32" s="129"/>
      <c r="J32" s="386"/>
      <c r="K32" s="401"/>
    </row>
    <row r="33" spans="1:11" s="119" customFormat="1" ht="12.75" customHeight="1">
      <c r="A33" s="417"/>
      <c r="B33" s="418"/>
      <c r="C33" s="108" t="s">
        <v>2017</v>
      </c>
      <c r="D33" s="411"/>
      <c r="E33" s="419"/>
      <c r="F33" s="420"/>
      <c r="G33" s="412"/>
      <c r="H33" s="421"/>
      <c r="I33" s="129"/>
      <c r="J33" s="386"/>
      <c r="K33" s="401"/>
    </row>
    <row r="34" spans="1:11" s="131" customFormat="1" ht="12.75" customHeight="1">
      <c r="A34" s="124">
        <v>6</v>
      </c>
      <c r="B34" s="130" t="s">
        <v>2018</v>
      </c>
      <c r="C34" s="414" t="s">
        <v>2019</v>
      </c>
      <c r="D34" s="411" t="s">
        <v>2013</v>
      </c>
      <c r="E34" s="125">
        <v>3318</v>
      </c>
      <c r="F34" s="515"/>
      <c r="G34" s="412"/>
      <c r="H34" s="412">
        <f>E34*F34</f>
        <v>0</v>
      </c>
      <c r="I34" s="413">
        <v>0</v>
      </c>
      <c r="J34" s="385"/>
      <c r="K34" s="512" t="s">
        <v>2474</v>
      </c>
    </row>
    <row r="35" spans="1:11" s="131" customFormat="1" ht="12.75" customHeight="1">
      <c r="A35" s="124"/>
      <c r="B35" s="130"/>
      <c r="C35" s="423" t="s">
        <v>2020</v>
      </c>
      <c r="D35" s="411"/>
      <c r="E35" s="424"/>
      <c r="F35" s="412"/>
      <c r="G35" s="412"/>
      <c r="H35" s="412"/>
      <c r="I35" s="129"/>
      <c r="J35" s="386"/>
      <c r="K35" s="402"/>
    </row>
    <row r="36" spans="1:11" s="131" customFormat="1" ht="12.75" customHeight="1">
      <c r="A36" s="124"/>
      <c r="B36" s="130"/>
      <c r="C36" s="423"/>
      <c r="D36" s="411"/>
      <c r="E36" s="125"/>
      <c r="F36" s="412"/>
      <c r="G36" s="412"/>
      <c r="H36" s="412"/>
      <c r="I36" s="129"/>
      <c r="J36" s="386"/>
      <c r="K36" s="402"/>
    </row>
    <row r="37" spans="1:11" s="131" customFormat="1" ht="12.75" customHeight="1">
      <c r="A37" s="417">
        <v>7</v>
      </c>
      <c r="B37" s="411" t="s">
        <v>2130</v>
      </c>
      <c r="C37" s="425" t="s">
        <v>2021</v>
      </c>
      <c r="D37" s="411"/>
      <c r="E37" s="426"/>
      <c r="F37" s="412"/>
      <c r="G37" s="412"/>
      <c r="H37" s="412"/>
      <c r="I37" s="420"/>
      <c r="J37" s="386">
        <f>E37*I37</f>
        <v>0</v>
      </c>
      <c r="K37" s="512" t="s">
        <v>2130</v>
      </c>
    </row>
    <row r="38" spans="1:11" s="131" customFormat="1" ht="12.75" customHeight="1">
      <c r="A38" s="113"/>
      <c r="B38" s="411"/>
      <c r="C38" s="427" t="s">
        <v>2022</v>
      </c>
      <c r="D38" s="411"/>
      <c r="E38" s="426"/>
      <c r="F38" s="412"/>
      <c r="G38" s="412"/>
      <c r="H38" s="412"/>
      <c r="I38" s="413"/>
      <c r="J38" s="386"/>
      <c r="K38" s="404"/>
    </row>
    <row r="39" spans="1:11" s="131" customFormat="1" ht="12.75" customHeight="1">
      <c r="A39" s="113"/>
      <c r="B39" s="411"/>
      <c r="C39" s="132" t="s">
        <v>2023</v>
      </c>
      <c r="D39" s="411"/>
      <c r="E39" s="426"/>
      <c r="F39" s="412"/>
      <c r="G39" s="412"/>
      <c r="H39" s="412"/>
      <c r="I39" s="413"/>
      <c r="J39" s="386"/>
      <c r="K39" s="403"/>
    </row>
    <row r="40" spans="1:11" s="131" customFormat="1" ht="12.75" customHeight="1">
      <c r="A40" s="113"/>
      <c r="B40" s="411"/>
      <c r="C40" s="133" t="s">
        <v>2024</v>
      </c>
      <c r="D40" s="411" t="s">
        <v>2025</v>
      </c>
      <c r="E40" s="426">
        <v>19.9</v>
      </c>
      <c r="F40" s="516"/>
      <c r="G40" s="412">
        <f>E40*F40</f>
        <v>0</v>
      </c>
      <c r="H40" s="412"/>
      <c r="I40" s="413">
        <v>0.001</v>
      </c>
      <c r="J40" s="386"/>
      <c r="K40" s="512" t="s">
        <v>2130</v>
      </c>
    </row>
    <row r="41" spans="1:11" s="131" customFormat="1" ht="12.75" customHeight="1">
      <c r="A41" s="113"/>
      <c r="B41" s="411"/>
      <c r="C41" s="414" t="s">
        <v>2026</v>
      </c>
      <c r="D41" s="411"/>
      <c r="E41" s="426"/>
      <c r="F41" s="412"/>
      <c r="G41" s="412">
        <f>G40/100*3</f>
        <v>0</v>
      </c>
      <c r="H41" s="412"/>
      <c r="I41" s="428"/>
      <c r="J41" s="386"/>
      <c r="K41" s="404"/>
    </row>
    <row r="42" spans="1:11" s="131" customFormat="1" ht="12.75" customHeight="1" hidden="1">
      <c r="A42" s="124"/>
      <c r="B42" s="101"/>
      <c r="C42" s="414"/>
      <c r="D42" s="134"/>
      <c r="E42" s="135"/>
      <c r="F42" s="128"/>
      <c r="G42" s="128"/>
      <c r="H42" s="412"/>
      <c r="I42" s="416"/>
      <c r="J42" s="386"/>
      <c r="K42" s="403"/>
    </row>
    <row r="43" spans="1:11" s="131" customFormat="1" ht="12.75" customHeight="1" hidden="1">
      <c r="A43" s="124"/>
      <c r="B43" s="126"/>
      <c r="C43" s="414"/>
      <c r="D43" s="411"/>
      <c r="E43" s="135"/>
      <c r="F43" s="128"/>
      <c r="G43" s="128"/>
      <c r="H43" s="412"/>
      <c r="I43" s="416"/>
      <c r="J43" s="386"/>
      <c r="K43" s="403"/>
    </row>
    <row r="44" spans="1:11" s="131" customFormat="1" ht="12.75" customHeight="1" hidden="1">
      <c r="A44" s="417"/>
      <c r="B44" s="418"/>
      <c r="C44" s="414"/>
      <c r="D44" s="411"/>
      <c r="E44" s="419"/>
      <c r="F44" s="420"/>
      <c r="G44" s="412"/>
      <c r="H44" s="421"/>
      <c r="I44" s="129"/>
      <c r="J44" s="386"/>
      <c r="K44" s="403"/>
    </row>
    <row r="45" spans="1:11" s="136" customFormat="1" ht="12.75" customHeight="1" hidden="1">
      <c r="A45" s="113"/>
      <c r="B45" s="411"/>
      <c r="C45" s="108"/>
      <c r="D45" s="411"/>
      <c r="E45" s="424"/>
      <c r="F45" s="429"/>
      <c r="G45" s="430"/>
      <c r="H45" s="429"/>
      <c r="I45" s="129"/>
      <c r="J45" s="386"/>
      <c r="K45" s="405"/>
    </row>
    <row r="46" spans="1:11" s="136" customFormat="1" ht="12.75" customHeight="1" hidden="1">
      <c r="A46" s="113"/>
      <c r="B46" s="411"/>
      <c r="C46" s="137"/>
      <c r="D46" s="411"/>
      <c r="E46" s="424"/>
      <c r="F46" s="429"/>
      <c r="G46" s="431"/>
      <c r="H46" s="429"/>
      <c r="I46" s="432"/>
      <c r="J46" s="387"/>
      <c r="K46" s="405"/>
    </row>
    <row r="47" spans="1:11" s="136" customFormat="1" ht="12" customHeight="1" hidden="1">
      <c r="A47" s="124"/>
      <c r="B47" s="126"/>
      <c r="C47" s="414"/>
      <c r="D47" s="411"/>
      <c r="E47" s="135"/>
      <c r="F47" s="128"/>
      <c r="G47" s="128"/>
      <c r="H47" s="412"/>
      <c r="I47" s="416"/>
      <c r="J47" s="386"/>
      <c r="K47" s="405"/>
    </row>
    <row r="48" spans="1:11" s="136" customFormat="1" ht="12.75" customHeight="1" hidden="1">
      <c r="A48" s="417"/>
      <c r="B48" s="418"/>
      <c r="C48" s="414"/>
      <c r="D48" s="411"/>
      <c r="E48" s="419"/>
      <c r="F48" s="420"/>
      <c r="G48" s="412"/>
      <c r="H48" s="421"/>
      <c r="I48" s="129"/>
      <c r="J48" s="386"/>
      <c r="K48" s="405"/>
    </row>
    <row r="49" spans="1:11" s="136" customFormat="1" ht="12.75" customHeight="1" hidden="1">
      <c r="A49" s="113"/>
      <c r="B49" s="411"/>
      <c r="C49" s="108"/>
      <c r="D49" s="411"/>
      <c r="E49" s="424"/>
      <c r="F49" s="429"/>
      <c r="G49" s="430"/>
      <c r="H49" s="429"/>
      <c r="I49" s="129"/>
      <c r="J49" s="386"/>
      <c r="K49" s="405"/>
    </row>
    <row r="50" spans="1:11" s="136" customFormat="1" ht="12.75" customHeight="1" hidden="1">
      <c r="A50" s="113"/>
      <c r="B50" s="130"/>
      <c r="C50" s="108"/>
      <c r="D50" s="411"/>
      <c r="E50" s="424"/>
      <c r="F50" s="429"/>
      <c r="G50" s="430"/>
      <c r="H50" s="429"/>
      <c r="I50" s="129"/>
      <c r="J50" s="386"/>
      <c r="K50" s="405"/>
    </row>
    <row r="51" spans="1:11" s="136" customFormat="1" ht="12.75" customHeight="1" hidden="1">
      <c r="A51" s="433"/>
      <c r="B51" s="130"/>
      <c r="C51" s="137"/>
      <c r="D51" s="411"/>
      <c r="E51" s="420"/>
      <c r="F51" s="412"/>
      <c r="G51" s="412"/>
      <c r="H51" s="412"/>
      <c r="I51" s="413"/>
      <c r="J51" s="386"/>
      <c r="K51" s="405"/>
    </row>
    <row r="52" spans="1:11" s="136" customFormat="1" ht="12.75" customHeight="1">
      <c r="A52" s="417">
        <v>8</v>
      </c>
      <c r="B52" s="411" t="s">
        <v>2027</v>
      </c>
      <c r="C52" s="414" t="s">
        <v>2028</v>
      </c>
      <c r="D52" s="411" t="s">
        <v>2013</v>
      </c>
      <c r="E52" s="426">
        <v>2728</v>
      </c>
      <c r="F52" s="516"/>
      <c r="G52" s="412"/>
      <c r="H52" s="412">
        <f>F52*E52</f>
        <v>0</v>
      </c>
      <c r="I52" s="434">
        <v>0</v>
      </c>
      <c r="J52" s="386">
        <f>E52*I52</f>
        <v>0</v>
      </c>
      <c r="K52" s="512" t="s">
        <v>2474</v>
      </c>
    </row>
    <row r="53" spans="1:11" s="136" customFormat="1" ht="12.75" customHeight="1">
      <c r="A53" s="417"/>
      <c r="B53" s="411"/>
      <c r="C53" s="108" t="s">
        <v>2029</v>
      </c>
      <c r="D53" s="411"/>
      <c r="E53" s="426"/>
      <c r="F53" s="412"/>
      <c r="G53" s="412"/>
      <c r="H53" s="412"/>
      <c r="I53" s="434"/>
      <c r="J53" s="386"/>
      <c r="K53" s="405"/>
    </row>
    <row r="54" spans="1:11" s="136" customFormat="1" ht="12.75" customHeight="1">
      <c r="A54" s="417">
        <v>9</v>
      </c>
      <c r="B54" s="411" t="s">
        <v>2030</v>
      </c>
      <c r="C54" s="414" t="s">
        <v>2031</v>
      </c>
      <c r="D54" s="411" t="s">
        <v>2013</v>
      </c>
      <c r="E54" s="426">
        <v>590</v>
      </c>
      <c r="F54" s="516"/>
      <c r="G54" s="412"/>
      <c r="H54" s="412">
        <f>F54*E54</f>
        <v>0</v>
      </c>
      <c r="I54" s="434">
        <v>0</v>
      </c>
      <c r="J54" s="386">
        <f>E54*I54</f>
        <v>0</v>
      </c>
      <c r="K54" s="512" t="s">
        <v>2474</v>
      </c>
    </row>
    <row r="55" spans="1:11" s="136" customFormat="1" ht="12.75" customHeight="1">
      <c r="A55" s="417"/>
      <c r="B55" s="411"/>
      <c r="C55" s="108" t="s">
        <v>2032</v>
      </c>
      <c r="D55" s="411"/>
      <c r="E55" s="426"/>
      <c r="F55" s="412"/>
      <c r="G55" s="412"/>
      <c r="H55" s="412"/>
      <c r="I55" s="434"/>
      <c r="J55" s="386"/>
      <c r="K55" s="405"/>
    </row>
    <row r="56" spans="1:14" s="136" customFormat="1" ht="12.75" customHeight="1">
      <c r="A56" s="417">
        <v>10</v>
      </c>
      <c r="B56" s="411" t="s">
        <v>2033</v>
      </c>
      <c r="C56" s="414" t="s">
        <v>2034</v>
      </c>
      <c r="D56" s="411" t="s">
        <v>2013</v>
      </c>
      <c r="E56" s="426">
        <v>2728</v>
      </c>
      <c r="F56" s="516"/>
      <c r="G56" s="412"/>
      <c r="H56" s="412">
        <f>F56*E56</f>
        <v>0</v>
      </c>
      <c r="I56" s="434">
        <v>0</v>
      </c>
      <c r="J56" s="386">
        <f>E56*I56</f>
        <v>0</v>
      </c>
      <c r="K56" s="512" t="s">
        <v>2474</v>
      </c>
      <c r="M56" s="193"/>
      <c r="N56" s="193"/>
    </row>
    <row r="57" spans="1:11" s="136" customFormat="1" ht="12.75" customHeight="1">
      <c r="A57" s="417"/>
      <c r="B57" s="411"/>
      <c r="C57" s="108" t="s">
        <v>2029</v>
      </c>
      <c r="D57" s="411"/>
      <c r="E57" s="435"/>
      <c r="F57" s="412"/>
      <c r="G57" s="412"/>
      <c r="H57" s="412"/>
      <c r="I57" s="434"/>
      <c r="J57" s="386"/>
      <c r="K57" s="405"/>
    </row>
    <row r="58" spans="1:11" ht="12.75" customHeight="1">
      <c r="A58" s="417">
        <v>11</v>
      </c>
      <c r="B58" s="411" t="s">
        <v>2035</v>
      </c>
      <c r="C58" s="414" t="s">
        <v>2036</v>
      </c>
      <c r="D58" s="411" t="s">
        <v>2013</v>
      </c>
      <c r="E58" s="426">
        <v>590</v>
      </c>
      <c r="F58" s="516"/>
      <c r="G58" s="412"/>
      <c r="H58" s="412">
        <f>F58*E58</f>
        <v>0</v>
      </c>
      <c r="I58" s="434">
        <v>0</v>
      </c>
      <c r="J58" s="386">
        <f>E58*I58</f>
        <v>0</v>
      </c>
      <c r="K58" s="512" t="s">
        <v>2474</v>
      </c>
    </row>
    <row r="59" spans="1:11" ht="15">
      <c r="A59" s="417"/>
      <c r="B59" s="411"/>
      <c r="C59" s="108" t="s">
        <v>2032</v>
      </c>
      <c r="D59" s="411"/>
      <c r="E59" s="435"/>
      <c r="F59" s="412"/>
      <c r="G59" s="412"/>
      <c r="H59" s="412"/>
      <c r="I59" s="434"/>
      <c r="J59" s="386"/>
      <c r="K59" s="400"/>
    </row>
    <row r="60" spans="1:11" ht="15">
      <c r="A60" s="138"/>
      <c r="B60" s="130"/>
      <c r="C60" s="436"/>
      <c r="D60" s="437"/>
      <c r="E60" s="438"/>
      <c r="F60" s="412"/>
      <c r="G60" s="439"/>
      <c r="H60" s="440"/>
      <c r="I60" s="441"/>
      <c r="J60" s="386"/>
      <c r="K60" s="400"/>
    </row>
    <row r="61" spans="1:11" ht="15">
      <c r="A61" s="138">
        <v>12</v>
      </c>
      <c r="B61" s="442">
        <v>183101215</v>
      </c>
      <c r="C61" s="436" t="s">
        <v>2037</v>
      </c>
      <c r="D61" s="437" t="s">
        <v>1469</v>
      </c>
      <c r="E61" s="438">
        <v>2</v>
      </c>
      <c r="F61" s="516"/>
      <c r="G61" s="439"/>
      <c r="H61" s="440">
        <f>E61*F61</f>
        <v>0</v>
      </c>
      <c r="I61" s="441">
        <v>0</v>
      </c>
      <c r="J61" s="386">
        <f>E61*I61</f>
        <v>0</v>
      </c>
      <c r="K61" s="512" t="s">
        <v>2474</v>
      </c>
    </row>
    <row r="62" spans="1:11" ht="15.6">
      <c r="A62" s="433"/>
      <c r="B62" s="139"/>
      <c r="C62" s="414" t="s">
        <v>2038</v>
      </c>
      <c r="D62" s="411"/>
      <c r="E62" s="420"/>
      <c r="F62" s="412"/>
      <c r="G62" s="412"/>
      <c r="H62" s="412"/>
      <c r="I62" s="413"/>
      <c r="J62" s="386"/>
      <c r="K62" s="400"/>
    </row>
    <row r="63" spans="1:11" ht="15">
      <c r="A63" s="417"/>
      <c r="B63" s="411"/>
      <c r="C63" s="423" t="s">
        <v>2039</v>
      </c>
      <c r="D63" s="411"/>
      <c r="E63" s="426"/>
      <c r="F63" s="412"/>
      <c r="G63" s="412"/>
      <c r="H63" s="412"/>
      <c r="I63" s="434"/>
      <c r="J63" s="386"/>
      <c r="K63" s="400"/>
    </row>
    <row r="64" spans="1:11" ht="15">
      <c r="A64" s="138"/>
      <c r="B64" s="130"/>
      <c r="C64" s="436"/>
      <c r="D64" s="437"/>
      <c r="E64" s="438"/>
      <c r="F64" s="412"/>
      <c r="G64" s="439"/>
      <c r="H64" s="440"/>
      <c r="I64" s="441"/>
      <c r="J64" s="386"/>
      <c r="K64" s="400"/>
    </row>
    <row r="65" spans="1:11" ht="15">
      <c r="A65" s="443">
        <v>13</v>
      </c>
      <c r="B65" s="422">
        <v>183102221</v>
      </c>
      <c r="C65" s="436" t="s">
        <v>2040</v>
      </c>
      <c r="D65" s="437" t="s">
        <v>1469</v>
      </c>
      <c r="E65" s="437">
        <v>11</v>
      </c>
      <c r="F65" s="516"/>
      <c r="G65" s="439"/>
      <c r="H65" s="412">
        <f>E65*F65</f>
        <v>0</v>
      </c>
      <c r="I65" s="441">
        <v>0</v>
      </c>
      <c r="J65" s="386">
        <f>E65*I65</f>
        <v>0</v>
      </c>
      <c r="K65" s="512" t="s">
        <v>2474</v>
      </c>
    </row>
    <row r="66" spans="1:11" ht="15.6">
      <c r="A66" s="433"/>
      <c r="B66" s="411"/>
      <c r="C66" s="414" t="s">
        <v>2041</v>
      </c>
      <c r="D66" s="411"/>
      <c r="E66" s="420"/>
      <c r="F66" s="412"/>
      <c r="G66" s="412"/>
      <c r="H66" s="412"/>
      <c r="I66" s="413"/>
      <c r="J66" s="386"/>
      <c r="K66" s="400"/>
    </row>
    <row r="67" spans="1:11" ht="15">
      <c r="A67" s="417"/>
      <c r="B67" s="411"/>
      <c r="C67" s="423"/>
      <c r="D67" s="130"/>
      <c r="E67" s="424"/>
      <c r="F67" s="412"/>
      <c r="G67" s="412"/>
      <c r="H67" s="412"/>
      <c r="I67" s="434"/>
      <c r="J67" s="386"/>
      <c r="K67" s="400"/>
    </row>
    <row r="68" spans="1:11" ht="15">
      <c r="A68" s="417">
        <v>14</v>
      </c>
      <c r="B68" s="411" t="s">
        <v>2042</v>
      </c>
      <c r="C68" s="414" t="s">
        <v>2043</v>
      </c>
      <c r="D68" s="411" t="s">
        <v>1469</v>
      </c>
      <c r="E68" s="438">
        <v>2</v>
      </c>
      <c r="F68" s="517"/>
      <c r="G68" s="128"/>
      <c r="H68" s="140">
        <f>E68*F68</f>
        <v>0</v>
      </c>
      <c r="I68" s="129">
        <v>0</v>
      </c>
      <c r="J68" s="386">
        <f>E68*I68</f>
        <v>0</v>
      </c>
      <c r="K68" s="512" t="s">
        <v>2474</v>
      </c>
    </row>
    <row r="69" spans="1:11" ht="15">
      <c r="A69" s="417"/>
      <c r="B69" s="411"/>
      <c r="C69" s="423" t="s">
        <v>2039</v>
      </c>
      <c r="D69" s="130"/>
      <c r="E69" s="424"/>
      <c r="F69" s="412"/>
      <c r="G69" s="412"/>
      <c r="H69" s="412"/>
      <c r="I69" s="434"/>
      <c r="J69" s="386"/>
      <c r="K69" s="400"/>
    </row>
    <row r="70" spans="1:11" ht="15">
      <c r="A70" s="443"/>
      <c r="B70" s="411"/>
      <c r="C70" s="423"/>
      <c r="D70" s="437"/>
      <c r="E70" s="437"/>
      <c r="F70" s="412"/>
      <c r="G70" s="412"/>
      <c r="H70" s="412"/>
      <c r="I70" s="413"/>
      <c r="J70" s="386"/>
      <c r="K70" s="400"/>
    </row>
    <row r="71" spans="1:11" ht="15">
      <c r="A71" s="443">
        <v>15</v>
      </c>
      <c r="B71" s="422">
        <v>184102116</v>
      </c>
      <c r="C71" s="414" t="s">
        <v>2044</v>
      </c>
      <c r="D71" s="437" t="s">
        <v>1469</v>
      </c>
      <c r="E71" s="438">
        <v>11</v>
      </c>
      <c r="F71" s="516"/>
      <c r="G71" s="412"/>
      <c r="H71" s="412">
        <f>E71*F71</f>
        <v>0</v>
      </c>
      <c r="I71" s="444">
        <v>0</v>
      </c>
      <c r="J71" s="386">
        <f>E71*I71</f>
        <v>0</v>
      </c>
      <c r="K71" s="512" t="s">
        <v>2474</v>
      </c>
    </row>
    <row r="72" spans="1:11" ht="15">
      <c r="A72" s="443"/>
      <c r="B72" s="411"/>
      <c r="C72" s="414" t="s">
        <v>2045</v>
      </c>
      <c r="D72" s="437"/>
      <c r="E72" s="437"/>
      <c r="F72" s="412"/>
      <c r="G72" s="412"/>
      <c r="H72" s="412"/>
      <c r="I72" s="413"/>
      <c r="J72" s="386"/>
      <c r="K72" s="400"/>
    </row>
    <row r="73" spans="1:11" ht="15">
      <c r="A73" s="443"/>
      <c r="B73" s="411"/>
      <c r="C73" s="423"/>
      <c r="D73" s="437"/>
      <c r="E73" s="437"/>
      <c r="F73" s="412"/>
      <c r="G73" s="412"/>
      <c r="H73" s="412"/>
      <c r="I73" s="413"/>
      <c r="J73" s="386"/>
      <c r="K73" s="400"/>
    </row>
    <row r="74" spans="1:11" ht="26.4">
      <c r="A74" s="443">
        <v>16</v>
      </c>
      <c r="B74" s="411" t="s">
        <v>2130</v>
      </c>
      <c r="C74" s="445" t="s">
        <v>2133</v>
      </c>
      <c r="D74" s="411" t="s">
        <v>1469</v>
      </c>
      <c r="E74" s="424">
        <v>11</v>
      </c>
      <c r="F74" s="516"/>
      <c r="G74" s="412">
        <f>E74*F74</f>
        <v>0</v>
      </c>
      <c r="H74" s="412"/>
      <c r="I74" s="444">
        <v>0.13</v>
      </c>
      <c r="J74" s="386">
        <f>E74*I74</f>
        <v>1.4300000000000002</v>
      </c>
      <c r="K74" s="512" t="s">
        <v>2130</v>
      </c>
    </row>
    <row r="75" spans="1:11" ht="15">
      <c r="A75" s="443"/>
      <c r="B75" s="411"/>
      <c r="C75" s="446" t="s">
        <v>2131</v>
      </c>
      <c r="D75" s="411"/>
      <c r="E75" s="424"/>
      <c r="F75" s="412"/>
      <c r="G75" s="412">
        <f>(G74/100)*3</f>
        <v>0</v>
      </c>
      <c r="H75" s="412"/>
      <c r="I75" s="444"/>
      <c r="J75" s="386"/>
      <c r="K75" s="400"/>
    </row>
    <row r="76" spans="1:11" ht="15">
      <c r="A76" s="443"/>
      <c r="B76" s="411"/>
      <c r="C76" s="446"/>
      <c r="D76" s="411"/>
      <c r="E76" s="424"/>
      <c r="F76" s="412"/>
      <c r="G76" s="412"/>
      <c r="H76" s="412"/>
      <c r="I76" s="444"/>
      <c r="J76" s="386"/>
      <c r="K76" s="400"/>
    </row>
    <row r="77" spans="1:11" ht="26.4">
      <c r="A77" s="443">
        <v>17</v>
      </c>
      <c r="B77" s="411" t="s">
        <v>2130</v>
      </c>
      <c r="C77" s="445" t="s">
        <v>2134</v>
      </c>
      <c r="D77" s="411" t="s">
        <v>1469</v>
      </c>
      <c r="E77" s="424">
        <v>2</v>
      </c>
      <c r="F77" s="516"/>
      <c r="G77" s="412">
        <f>E77*F77</f>
        <v>0</v>
      </c>
      <c r="H77" s="412"/>
      <c r="I77" s="444">
        <v>0.015</v>
      </c>
      <c r="J77" s="386">
        <f>E77*I77</f>
        <v>0.03</v>
      </c>
      <c r="K77" s="512" t="s">
        <v>2130</v>
      </c>
    </row>
    <row r="78" spans="1:11" ht="15">
      <c r="A78" s="443"/>
      <c r="B78" s="411"/>
      <c r="C78" s="447" t="s">
        <v>2132</v>
      </c>
      <c r="D78" s="411"/>
      <c r="E78" s="424"/>
      <c r="F78" s="412"/>
      <c r="G78" s="412">
        <f>(G77/100)*2</f>
        <v>0</v>
      </c>
      <c r="H78" s="412"/>
      <c r="I78" s="444"/>
      <c r="J78" s="386"/>
      <c r="K78" s="400"/>
    </row>
    <row r="79" spans="1:11" ht="15">
      <c r="A79" s="443"/>
      <c r="B79" s="411"/>
      <c r="C79" s="425"/>
      <c r="D79" s="411"/>
      <c r="E79" s="424"/>
      <c r="F79" s="412"/>
      <c r="G79" s="412"/>
      <c r="H79" s="412"/>
      <c r="I79" s="444"/>
      <c r="J79" s="386"/>
      <c r="K79" s="400"/>
    </row>
    <row r="80" spans="1:11" ht="15">
      <c r="A80" s="113">
        <v>18</v>
      </c>
      <c r="B80" s="411" t="s">
        <v>2046</v>
      </c>
      <c r="C80" s="414" t="s">
        <v>2047</v>
      </c>
      <c r="D80" s="411" t="s">
        <v>1469</v>
      </c>
      <c r="E80" s="424">
        <v>13</v>
      </c>
      <c r="F80" s="516"/>
      <c r="G80" s="412"/>
      <c r="H80" s="412">
        <f>E80*F80</f>
        <v>0</v>
      </c>
      <c r="I80" s="434">
        <v>0</v>
      </c>
      <c r="J80" s="386">
        <f>E80*I80</f>
        <v>0</v>
      </c>
      <c r="K80" s="512" t="s">
        <v>2474</v>
      </c>
    </row>
    <row r="81" spans="1:11" ht="15">
      <c r="A81" s="443"/>
      <c r="B81" s="134"/>
      <c r="C81" s="141" t="s">
        <v>2048</v>
      </c>
      <c r="D81" s="134"/>
      <c r="E81" s="424"/>
      <c r="F81" s="412"/>
      <c r="G81" s="412"/>
      <c r="H81" s="128"/>
      <c r="I81" s="129"/>
      <c r="J81" s="388"/>
      <c r="K81" s="400"/>
    </row>
    <row r="82" spans="1:11" ht="15">
      <c r="A82" s="113">
        <v>19</v>
      </c>
      <c r="B82" s="411" t="s">
        <v>2049</v>
      </c>
      <c r="C82" s="414" t="s">
        <v>2050</v>
      </c>
      <c r="D82" s="411" t="s">
        <v>1469</v>
      </c>
      <c r="E82" s="424">
        <v>11</v>
      </c>
      <c r="F82" s="516"/>
      <c r="G82" s="412"/>
      <c r="H82" s="412">
        <f>E82*F82</f>
        <v>0</v>
      </c>
      <c r="I82" s="434">
        <v>0</v>
      </c>
      <c r="J82" s="386">
        <f>E82*I82</f>
        <v>0</v>
      </c>
      <c r="K82" s="512" t="s">
        <v>2474</v>
      </c>
    </row>
    <row r="83" spans="1:11" ht="15">
      <c r="A83" s="443"/>
      <c r="B83" s="134"/>
      <c r="C83" s="141" t="s">
        <v>2051</v>
      </c>
      <c r="D83" s="134"/>
      <c r="E83" s="424"/>
      <c r="F83" s="412"/>
      <c r="G83" s="412"/>
      <c r="H83" s="128"/>
      <c r="I83" s="129"/>
      <c r="J83" s="388"/>
      <c r="K83" s="400"/>
    </row>
    <row r="84" spans="1:11" ht="15">
      <c r="A84" s="113">
        <v>20</v>
      </c>
      <c r="B84" s="411" t="s">
        <v>2052</v>
      </c>
      <c r="C84" s="414" t="s">
        <v>2053</v>
      </c>
      <c r="D84" s="411" t="s">
        <v>1469</v>
      </c>
      <c r="E84" s="424">
        <v>2</v>
      </c>
      <c r="F84" s="516"/>
      <c r="G84" s="412"/>
      <c r="H84" s="412">
        <f>E84*F84</f>
        <v>0</v>
      </c>
      <c r="I84" s="434">
        <v>0</v>
      </c>
      <c r="J84" s="386">
        <f>E84*I84</f>
        <v>0</v>
      </c>
      <c r="K84" s="512" t="s">
        <v>2474</v>
      </c>
    </row>
    <row r="85" spans="1:11" ht="15">
      <c r="A85" s="443"/>
      <c r="B85" s="134"/>
      <c r="C85" s="141" t="s">
        <v>2039</v>
      </c>
      <c r="D85" s="134"/>
      <c r="E85" s="424"/>
      <c r="F85" s="412"/>
      <c r="G85" s="412"/>
      <c r="H85" s="128"/>
      <c r="I85" s="129"/>
      <c r="J85" s="388"/>
      <c r="K85" s="400"/>
    </row>
    <row r="86" spans="1:11" ht="15">
      <c r="A86" s="113"/>
      <c r="B86" s="411"/>
      <c r="C86" s="425"/>
      <c r="D86" s="411"/>
      <c r="E86" s="424"/>
      <c r="F86" s="412"/>
      <c r="G86" s="412"/>
      <c r="H86" s="412"/>
      <c r="I86" s="413"/>
      <c r="J86" s="386"/>
      <c r="K86" s="400"/>
    </row>
    <row r="87" spans="1:11" ht="28.8">
      <c r="A87" s="142">
        <v>21</v>
      </c>
      <c r="B87" s="411" t="s">
        <v>2130</v>
      </c>
      <c r="C87" s="448" t="s">
        <v>2135</v>
      </c>
      <c r="D87" s="411" t="s">
        <v>1469</v>
      </c>
      <c r="E87" s="125">
        <v>33</v>
      </c>
      <c r="F87" s="516"/>
      <c r="G87" s="412">
        <f>F87*E87</f>
        <v>0</v>
      </c>
      <c r="H87" s="412"/>
      <c r="I87" s="413">
        <v>0.015</v>
      </c>
      <c r="J87" s="386">
        <f>E87*I87</f>
        <v>0.495</v>
      </c>
      <c r="K87" s="512" t="s">
        <v>2130</v>
      </c>
    </row>
    <row r="88" spans="1:11" ht="28.8">
      <c r="A88" s="124">
        <v>22</v>
      </c>
      <c r="B88" s="411" t="s">
        <v>2130</v>
      </c>
      <c r="C88" s="448" t="s">
        <v>2137</v>
      </c>
      <c r="D88" s="411" t="s">
        <v>1469</v>
      </c>
      <c r="E88" s="424">
        <v>33</v>
      </c>
      <c r="F88" s="516"/>
      <c r="G88" s="412">
        <f>F88*E88</f>
        <v>0</v>
      </c>
      <c r="H88" s="412"/>
      <c r="I88" s="413">
        <v>0.002</v>
      </c>
      <c r="J88" s="386">
        <f>E88*I88</f>
        <v>0.066</v>
      </c>
      <c r="K88" s="512" t="s">
        <v>2130</v>
      </c>
    </row>
    <row r="89" spans="1:11" ht="28.8">
      <c r="A89" s="124">
        <v>23</v>
      </c>
      <c r="B89" s="411" t="s">
        <v>2130</v>
      </c>
      <c r="C89" s="448" t="s">
        <v>2139</v>
      </c>
      <c r="D89" s="411" t="s">
        <v>74</v>
      </c>
      <c r="E89" s="114">
        <v>23.1</v>
      </c>
      <c r="F89" s="516"/>
      <c r="G89" s="412">
        <f>F89*E89</f>
        <v>0</v>
      </c>
      <c r="H89" s="412"/>
      <c r="I89" s="413">
        <v>0.0001</v>
      </c>
      <c r="J89" s="386">
        <f>E89*I89</f>
        <v>0.0023100000000000004</v>
      </c>
      <c r="K89" s="512" t="s">
        <v>2130</v>
      </c>
    </row>
    <row r="90" spans="1:11" ht="28.8">
      <c r="A90" s="124">
        <v>24</v>
      </c>
      <c r="B90" s="411" t="s">
        <v>2130</v>
      </c>
      <c r="C90" s="448" t="s">
        <v>2136</v>
      </c>
      <c r="D90" s="411" t="s">
        <v>1469</v>
      </c>
      <c r="E90" s="125">
        <v>2</v>
      </c>
      <c r="F90" s="516"/>
      <c r="G90" s="412">
        <f>F90*E90</f>
        <v>0</v>
      </c>
      <c r="H90" s="412"/>
      <c r="I90" s="413">
        <v>0.015</v>
      </c>
      <c r="J90" s="386">
        <f>E90*I90</f>
        <v>0.03</v>
      </c>
      <c r="K90" s="512" t="s">
        <v>2130</v>
      </c>
    </row>
    <row r="91" spans="1:11" ht="15">
      <c r="A91" s="124">
        <v>25</v>
      </c>
      <c r="B91" s="411" t="s">
        <v>2130</v>
      </c>
      <c r="C91" s="448" t="s">
        <v>2138</v>
      </c>
      <c r="D91" s="411" t="s">
        <v>74</v>
      </c>
      <c r="E91" s="114">
        <v>1.4</v>
      </c>
      <c r="F91" s="516"/>
      <c r="G91" s="412">
        <f>F91*E91</f>
        <v>0</v>
      </c>
      <c r="H91" s="412"/>
      <c r="I91" s="413">
        <v>0.0001</v>
      </c>
      <c r="J91" s="386">
        <f>E91*I91</f>
        <v>0.00014</v>
      </c>
      <c r="K91" s="512" t="s">
        <v>2130</v>
      </c>
    </row>
    <row r="92" spans="1:14" ht="15">
      <c r="A92" s="124"/>
      <c r="B92" s="411"/>
      <c r="C92" s="449"/>
      <c r="D92" s="411"/>
      <c r="E92" s="125"/>
      <c r="F92" s="143"/>
      <c r="G92" s="143"/>
      <c r="H92" s="412"/>
      <c r="I92" s="413"/>
      <c r="J92" s="388"/>
      <c r="K92" s="400"/>
      <c r="L92" s="195"/>
      <c r="M92" s="194"/>
      <c r="N92" s="194"/>
    </row>
    <row r="93" spans="1:11" ht="28.8">
      <c r="A93" s="138">
        <v>26</v>
      </c>
      <c r="B93" s="411" t="s">
        <v>2130</v>
      </c>
      <c r="C93" s="450" t="s">
        <v>2140</v>
      </c>
      <c r="D93" s="411" t="s">
        <v>1469</v>
      </c>
      <c r="E93" s="424">
        <v>11</v>
      </c>
      <c r="F93" s="516"/>
      <c r="G93" s="412">
        <f>F93*E93</f>
        <v>0</v>
      </c>
      <c r="H93" s="412"/>
      <c r="I93" s="413">
        <v>0.002</v>
      </c>
      <c r="J93" s="386">
        <f>E93*I93</f>
        <v>0.022</v>
      </c>
      <c r="K93" s="512" t="s">
        <v>2130</v>
      </c>
    </row>
    <row r="94" spans="1:11" ht="15">
      <c r="A94" s="138"/>
      <c r="B94" s="411"/>
      <c r="C94" s="141" t="s">
        <v>2051</v>
      </c>
      <c r="D94" s="134"/>
      <c r="E94" s="144"/>
      <c r="F94" s="128"/>
      <c r="G94" s="128"/>
      <c r="H94" s="412"/>
      <c r="I94" s="145"/>
      <c r="J94" s="386"/>
      <c r="K94" s="400"/>
    </row>
    <row r="95" spans="1:11" ht="28.8">
      <c r="A95" s="138">
        <v>27</v>
      </c>
      <c r="B95" s="411" t="s">
        <v>2130</v>
      </c>
      <c r="C95" s="450" t="s">
        <v>2141</v>
      </c>
      <c r="D95" s="411" t="s">
        <v>1469</v>
      </c>
      <c r="E95" s="424">
        <v>11</v>
      </c>
      <c r="F95" s="516"/>
      <c r="G95" s="412">
        <f>F95*E95</f>
        <v>0</v>
      </c>
      <c r="H95" s="412"/>
      <c r="I95" s="413">
        <v>0.001</v>
      </c>
      <c r="J95" s="386">
        <f>E95*I95</f>
        <v>0.011</v>
      </c>
      <c r="K95" s="512" t="s">
        <v>2130</v>
      </c>
    </row>
    <row r="96" spans="1:11" ht="15">
      <c r="A96" s="138"/>
      <c r="B96" s="411"/>
      <c r="C96" s="141" t="s">
        <v>2051</v>
      </c>
      <c r="D96" s="134"/>
      <c r="E96" s="144"/>
      <c r="F96" s="128"/>
      <c r="G96" s="128"/>
      <c r="H96" s="412"/>
      <c r="I96" s="145"/>
      <c r="J96" s="386"/>
      <c r="K96" s="400"/>
    </row>
    <row r="97" spans="1:11" ht="15">
      <c r="A97" s="417">
        <v>28</v>
      </c>
      <c r="B97" s="411" t="s">
        <v>2130</v>
      </c>
      <c r="C97" s="146" t="s">
        <v>2054</v>
      </c>
      <c r="D97" s="411" t="s">
        <v>1443</v>
      </c>
      <c r="E97" s="420">
        <v>105.7</v>
      </c>
      <c r="F97" s="516"/>
      <c r="G97" s="412">
        <f>E97*F97</f>
        <v>0</v>
      </c>
      <c r="H97" s="412"/>
      <c r="I97" s="434">
        <v>0.001</v>
      </c>
      <c r="J97" s="389">
        <f>E97*I97</f>
        <v>0.1057</v>
      </c>
      <c r="K97" s="512" t="s">
        <v>2130</v>
      </c>
    </row>
    <row r="98" spans="1:11" ht="15">
      <c r="A98" s="147"/>
      <c r="B98" s="411"/>
      <c r="C98" s="451" t="s">
        <v>2055</v>
      </c>
      <c r="D98" s="130"/>
      <c r="E98" s="117"/>
      <c r="F98" s="143"/>
      <c r="G98" s="143"/>
      <c r="H98" s="143"/>
      <c r="I98" s="148"/>
      <c r="J98" s="389"/>
      <c r="K98" s="400"/>
    </row>
    <row r="99" spans="1:11" ht="15">
      <c r="A99" s="113"/>
      <c r="B99" s="411"/>
      <c r="C99" s="115" t="s">
        <v>2026</v>
      </c>
      <c r="D99" s="114"/>
      <c r="E99" s="114"/>
      <c r="F99" s="149"/>
      <c r="G99" s="149">
        <f>G97/100*3</f>
        <v>0</v>
      </c>
      <c r="H99" s="114"/>
      <c r="I99" s="150"/>
      <c r="J99" s="387"/>
      <c r="K99" s="400"/>
    </row>
    <row r="100" spans="1:11" ht="15">
      <c r="A100" s="113"/>
      <c r="B100" s="411"/>
      <c r="C100" s="115"/>
      <c r="D100" s="114"/>
      <c r="E100" s="114"/>
      <c r="F100" s="149"/>
      <c r="G100" s="149"/>
      <c r="H100" s="114"/>
      <c r="I100" s="150"/>
      <c r="J100" s="387"/>
      <c r="K100" s="400"/>
    </row>
    <row r="101" spans="1:11" ht="15">
      <c r="A101" s="417">
        <v>29</v>
      </c>
      <c r="B101" s="411" t="s">
        <v>2130</v>
      </c>
      <c r="C101" s="146" t="s">
        <v>2056</v>
      </c>
      <c r="D101" s="411" t="s">
        <v>1443</v>
      </c>
      <c r="E101" s="420">
        <v>4.47</v>
      </c>
      <c r="F101" s="516"/>
      <c r="G101" s="412">
        <f>E101*F101</f>
        <v>0</v>
      </c>
      <c r="H101" s="412"/>
      <c r="I101" s="434">
        <v>0.001</v>
      </c>
      <c r="J101" s="389">
        <f>E101*I101</f>
        <v>0.00447</v>
      </c>
      <c r="K101" s="512" t="s">
        <v>2130</v>
      </c>
    </row>
    <row r="102" spans="1:11" ht="15">
      <c r="A102" s="147"/>
      <c r="B102" s="411"/>
      <c r="C102" s="451" t="s">
        <v>2057</v>
      </c>
      <c r="D102" s="130"/>
      <c r="E102" s="117"/>
      <c r="F102" s="143"/>
      <c r="G102" s="143"/>
      <c r="H102" s="143"/>
      <c r="I102" s="148"/>
      <c r="J102" s="389"/>
      <c r="K102" s="400"/>
    </row>
    <row r="103" spans="1:11" ht="15">
      <c r="A103" s="113"/>
      <c r="B103" s="411"/>
      <c r="C103" s="115" t="s">
        <v>2026</v>
      </c>
      <c r="D103" s="114"/>
      <c r="E103" s="114"/>
      <c r="F103" s="149"/>
      <c r="G103" s="149">
        <f>G101/100*3</f>
        <v>0</v>
      </c>
      <c r="H103" s="114"/>
      <c r="I103" s="150"/>
      <c r="J103" s="387"/>
      <c r="K103" s="400"/>
    </row>
    <row r="104" spans="1:11" ht="15.6">
      <c r="A104" s="417">
        <v>30</v>
      </c>
      <c r="B104" s="411" t="s">
        <v>2058</v>
      </c>
      <c r="C104" s="414" t="s">
        <v>2059</v>
      </c>
      <c r="D104" s="411" t="s">
        <v>2013</v>
      </c>
      <c r="E104" s="426">
        <v>2640</v>
      </c>
      <c r="F104" s="514"/>
      <c r="G104" s="128"/>
      <c r="H104" s="412">
        <f>F104*E104</f>
        <v>0</v>
      </c>
      <c r="I104" s="129">
        <v>0</v>
      </c>
      <c r="J104" s="386">
        <f>E104*I104</f>
        <v>0</v>
      </c>
      <c r="K104" s="512" t="s">
        <v>2474</v>
      </c>
    </row>
    <row r="105" spans="1:11" ht="15.6">
      <c r="A105" s="417"/>
      <c r="B105" s="134"/>
      <c r="C105" s="115" t="s">
        <v>2060</v>
      </c>
      <c r="D105" s="134"/>
      <c r="E105" s="144"/>
      <c r="F105" s="128"/>
      <c r="G105" s="128"/>
      <c r="H105" s="412"/>
      <c r="I105" s="129"/>
      <c r="J105" s="386"/>
      <c r="K105" s="400"/>
    </row>
    <row r="106" spans="1:11" ht="15.6">
      <c r="A106" s="417">
        <v>31</v>
      </c>
      <c r="B106" s="411" t="s">
        <v>2061</v>
      </c>
      <c r="C106" s="414" t="s">
        <v>2062</v>
      </c>
      <c r="D106" s="411" t="s">
        <v>2013</v>
      </c>
      <c r="E106" s="426">
        <v>380</v>
      </c>
      <c r="F106" s="514"/>
      <c r="G106" s="128"/>
      <c r="H106" s="412">
        <f>F106*E106</f>
        <v>0</v>
      </c>
      <c r="I106" s="129">
        <v>0</v>
      </c>
      <c r="J106" s="386">
        <f>E106*I106</f>
        <v>0</v>
      </c>
      <c r="K106" s="512" t="s">
        <v>2474</v>
      </c>
    </row>
    <row r="107" spans="1:11" ht="15.6">
      <c r="A107" s="417"/>
      <c r="B107" s="134"/>
      <c r="C107" s="115" t="s">
        <v>2063</v>
      </c>
      <c r="D107" s="134"/>
      <c r="E107" s="144"/>
      <c r="F107" s="128"/>
      <c r="G107" s="128"/>
      <c r="H107" s="412"/>
      <c r="I107" s="129"/>
      <c r="J107" s="390"/>
      <c r="K107" s="400"/>
    </row>
    <row r="108" spans="1:11" ht="15.6">
      <c r="A108" s="417">
        <v>32</v>
      </c>
      <c r="B108" s="411" t="s">
        <v>2058</v>
      </c>
      <c r="C108" s="414" t="s">
        <v>2059</v>
      </c>
      <c r="D108" s="411" t="s">
        <v>2013</v>
      </c>
      <c r="E108" s="426">
        <v>88</v>
      </c>
      <c r="F108" s="514"/>
      <c r="G108" s="128"/>
      <c r="H108" s="412">
        <f>F108*E108</f>
        <v>0</v>
      </c>
      <c r="I108" s="129">
        <v>0</v>
      </c>
      <c r="J108" s="386">
        <f>E108*I108</f>
        <v>0</v>
      </c>
      <c r="K108" s="512" t="s">
        <v>2474</v>
      </c>
    </row>
    <row r="109" spans="1:11" ht="15.6">
      <c r="A109" s="417"/>
      <c r="B109" s="134"/>
      <c r="C109" s="115" t="s">
        <v>2064</v>
      </c>
      <c r="D109" s="134"/>
      <c r="E109" s="144"/>
      <c r="F109" s="128"/>
      <c r="G109" s="128"/>
      <c r="H109" s="412"/>
      <c r="I109" s="129"/>
      <c r="J109" s="386"/>
      <c r="K109" s="400"/>
    </row>
    <row r="110" spans="1:11" ht="15.6">
      <c r="A110" s="417">
        <v>33</v>
      </c>
      <c r="B110" s="411" t="s">
        <v>2061</v>
      </c>
      <c r="C110" s="414" t="s">
        <v>2065</v>
      </c>
      <c r="D110" s="411" t="s">
        <v>2013</v>
      </c>
      <c r="E110" s="426">
        <v>210</v>
      </c>
      <c r="F110" s="514"/>
      <c r="G110" s="128"/>
      <c r="H110" s="412">
        <f>F110*E110</f>
        <v>0</v>
      </c>
      <c r="I110" s="129">
        <v>0</v>
      </c>
      <c r="J110" s="386">
        <f>E110*I110</f>
        <v>0</v>
      </c>
      <c r="K110" s="512" t="s">
        <v>2474</v>
      </c>
    </row>
    <row r="111" spans="1:11" ht="15.6">
      <c r="A111" s="417"/>
      <c r="B111" s="134"/>
      <c r="C111" s="115" t="s">
        <v>2066</v>
      </c>
      <c r="D111" s="134"/>
      <c r="E111" s="144"/>
      <c r="F111" s="128"/>
      <c r="G111" s="128"/>
      <c r="H111" s="412"/>
      <c r="I111" s="129"/>
      <c r="J111" s="390"/>
      <c r="K111" s="400"/>
    </row>
    <row r="112" spans="1:11" ht="15.6">
      <c r="A112" s="124">
        <v>34</v>
      </c>
      <c r="B112" s="134" t="s">
        <v>2067</v>
      </c>
      <c r="C112" s="414" t="s">
        <v>2068</v>
      </c>
      <c r="D112" s="411" t="s">
        <v>2013</v>
      </c>
      <c r="E112" s="426">
        <v>2728</v>
      </c>
      <c r="F112" s="516"/>
      <c r="G112" s="412"/>
      <c r="H112" s="412">
        <f>E112*F112</f>
        <v>0</v>
      </c>
      <c r="I112" s="148">
        <v>0</v>
      </c>
      <c r="J112" s="389">
        <f>E112*I112</f>
        <v>0</v>
      </c>
      <c r="K112" s="512" t="s">
        <v>2474</v>
      </c>
    </row>
    <row r="113" spans="1:11" ht="15">
      <c r="A113" s="124"/>
      <c r="B113" s="411"/>
      <c r="C113" s="108" t="s">
        <v>2029</v>
      </c>
      <c r="D113" s="411"/>
      <c r="E113" s="435"/>
      <c r="F113" s="412"/>
      <c r="G113" s="412"/>
      <c r="H113" s="412"/>
      <c r="I113" s="434"/>
      <c r="J113" s="386"/>
      <c r="K113" s="400"/>
    </row>
    <row r="114" spans="1:11" ht="15.6">
      <c r="A114" s="124">
        <v>35</v>
      </c>
      <c r="B114" s="134" t="s">
        <v>2069</v>
      </c>
      <c r="C114" s="414" t="s">
        <v>2070</v>
      </c>
      <c r="D114" s="411" t="s">
        <v>2013</v>
      </c>
      <c r="E114" s="426">
        <v>290</v>
      </c>
      <c r="F114" s="516"/>
      <c r="G114" s="412"/>
      <c r="H114" s="412">
        <f>E114*F114</f>
        <v>0</v>
      </c>
      <c r="I114" s="148">
        <v>0</v>
      </c>
      <c r="J114" s="389">
        <f>E114*I114</f>
        <v>0</v>
      </c>
      <c r="K114" s="512" t="s">
        <v>2474</v>
      </c>
    </row>
    <row r="115" spans="1:11" ht="15">
      <c r="A115" s="417"/>
      <c r="B115" s="411"/>
      <c r="C115" s="108" t="s">
        <v>2032</v>
      </c>
      <c r="D115" s="411"/>
      <c r="E115" s="424"/>
      <c r="F115" s="128"/>
      <c r="G115" s="128"/>
      <c r="H115" s="412"/>
      <c r="I115" s="145"/>
      <c r="J115" s="388"/>
      <c r="K115" s="400"/>
    </row>
    <row r="116" spans="1:11" ht="15.6">
      <c r="A116" s="443">
        <v>36</v>
      </c>
      <c r="B116" s="130" t="s">
        <v>2071</v>
      </c>
      <c r="C116" s="414" t="s">
        <v>2072</v>
      </c>
      <c r="D116" s="411" t="s">
        <v>2013</v>
      </c>
      <c r="E116" s="420">
        <v>13</v>
      </c>
      <c r="F116" s="516"/>
      <c r="G116" s="412"/>
      <c r="H116" s="412">
        <f>E116*F116</f>
        <v>0</v>
      </c>
      <c r="I116" s="145">
        <v>0</v>
      </c>
      <c r="J116" s="386">
        <f>E116*I116</f>
        <v>0</v>
      </c>
      <c r="K116" s="512" t="s">
        <v>2474</v>
      </c>
    </row>
    <row r="117" spans="1:11" ht="15">
      <c r="A117" s="417"/>
      <c r="B117" s="411"/>
      <c r="C117" s="423" t="s">
        <v>2073</v>
      </c>
      <c r="D117" s="411"/>
      <c r="E117" s="424"/>
      <c r="F117" s="128"/>
      <c r="G117" s="128"/>
      <c r="H117" s="412"/>
      <c r="I117" s="145"/>
      <c r="J117" s="388"/>
      <c r="K117" s="400"/>
    </row>
    <row r="118" spans="1:11" ht="15.6">
      <c r="A118" s="138">
        <v>37</v>
      </c>
      <c r="B118" s="411" t="s">
        <v>2130</v>
      </c>
      <c r="C118" s="425" t="s">
        <v>2074</v>
      </c>
      <c r="D118" s="411" t="s">
        <v>2004</v>
      </c>
      <c r="E118" s="420">
        <v>1.3</v>
      </c>
      <c r="F118" s="516"/>
      <c r="G118" s="412">
        <f>F118*E118</f>
        <v>0</v>
      </c>
      <c r="H118" s="412"/>
      <c r="I118" s="428">
        <v>0.7</v>
      </c>
      <c r="J118" s="385">
        <f>E118*I118</f>
        <v>0.9099999999999999</v>
      </c>
      <c r="K118" s="512" t="s">
        <v>2130</v>
      </c>
    </row>
    <row r="119" spans="1:11" ht="15">
      <c r="A119" s="417"/>
      <c r="B119" s="411"/>
      <c r="C119" s="133" t="s">
        <v>2075</v>
      </c>
      <c r="D119" s="411"/>
      <c r="E119" s="420"/>
      <c r="F119" s="412"/>
      <c r="G119" s="412"/>
      <c r="H119" s="412"/>
      <c r="I119" s="428"/>
      <c r="J119" s="385"/>
      <c r="K119" s="400"/>
    </row>
    <row r="120" spans="1:11" ht="15">
      <c r="A120" s="452"/>
      <c r="B120" s="411"/>
      <c r="C120" s="423" t="s">
        <v>2076</v>
      </c>
      <c r="D120" s="130"/>
      <c r="E120" s="420"/>
      <c r="F120" s="412"/>
      <c r="G120" s="412"/>
      <c r="H120" s="412"/>
      <c r="I120" s="428"/>
      <c r="J120" s="391"/>
      <c r="K120" s="400"/>
    </row>
    <row r="121" spans="1:11" ht="15">
      <c r="A121" s="443">
        <v>38</v>
      </c>
      <c r="B121" s="411" t="s">
        <v>2077</v>
      </c>
      <c r="C121" s="414" t="s">
        <v>2078</v>
      </c>
      <c r="D121" s="411" t="s">
        <v>125</v>
      </c>
      <c r="E121" s="431">
        <v>0.00875</v>
      </c>
      <c r="F121" s="516"/>
      <c r="G121" s="412"/>
      <c r="H121" s="412">
        <f>F121*E121</f>
        <v>0</v>
      </c>
      <c r="I121" s="413">
        <v>0</v>
      </c>
      <c r="J121" s="386">
        <f>E121*I121</f>
        <v>0</v>
      </c>
      <c r="K121" s="512" t="s">
        <v>2474</v>
      </c>
    </row>
    <row r="122" spans="1:11" ht="15">
      <c r="A122" s="443"/>
      <c r="B122" s="411"/>
      <c r="C122" s="423" t="s">
        <v>2079</v>
      </c>
      <c r="D122" s="411"/>
      <c r="E122" s="424"/>
      <c r="F122" s="412"/>
      <c r="G122" s="412"/>
      <c r="H122" s="412"/>
      <c r="I122" s="413"/>
      <c r="J122" s="386"/>
      <c r="K122" s="400"/>
    </row>
    <row r="123" spans="1:11" ht="15">
      <c r="A123" s="443"/>
      <c r="B123" s="411"/>
      <c r="C123" s="423" t="s">
        <v>2080</v>
      </c>
      <c r="D123" s="411"/>
      <c r="E123" s="411"/>
      <c r="F123" s="412"/>
      <c r="G123" s="412"/>
      <c r="H123" s="412"/>
      <c r="I123" s="428"/>
      <c r="J123" s="386"/>
      <c r="K123" s="400"/>
    </row>
    <row r="124" spans="1:11" ht="15">
      <c r="A124" s="113"/>
      <c r="B124" s="411"/>
      <c r="C124" s="423" t="s">
        <v>2081</v>
      </c>
      <c r="D124" s="411"/>
      <c r="E124" s="431"/>
      <c r="F124" s="412"/>
      <c r="G124" s="412"/>
      <c r="H124" s="412"/>
      <c r="I124" s="413"/>
      <c r="J124" s="386"/>
      <c r="K124" s="400"/>
    </row>
    <row r="125" spans="1:11" ht="15">
      <c r="A125" s="113"/>
      <c r="B125" s="411"/>
      <c r="C125" s="423"/>
      <c r="D125" s="411"/>
      <c r="E125" s="431"/>
      <c r="F125" s="412"/>
      <c r="G125" s="412"/>
      <c r="H125" s="412"/>
      <c r="I125" s="413"/>
      <c r="J125" s="386"/>
      <c r="K125" s="400"/>
    </row>
    <row r="126" spans="1:11" ht="15">
      <c r="A126" s="443">
        <v>39</v>
      </c>
      <c r="B126" s="411" t="s">
        <v>2130</v>
      </c>
      <c r="C126" s="425" t="s">
        <v>2082</v>
      </c>
      <c r="D126" s="130"/>
      <c r="E126" s="151"/>
      <c r="F126" s="412"/>
      <c r="G126" s="412"/>
      <c r="H126" s="412"/>
      <c r="I126" s="420"/>
      <c r="J126" s="385"/>
      <c r="K126" s="512" t="s">
        <v>2130</v>
      </c>
    </row>
    <row r="127" spans="1:11" ht="15">
      <c r="A127" s="443"/>
      <c r="B127" s="411"/>
      <c r="C127" s="423" t="s">
        <v>2083</v>
      </c>
      <c r="D127" s="411" t="s">
        <v>1443</v>
      </c>
      <c r="E127" s="431">
        <v>6.5</v>
      </c>
      <c r="F127" s="516"/>
      <c r="G127" s="415">
        <f>F127*E127</f>
        <v>0</v>
      </c>
      <c r="H127" s="412"/>
      <c r="I127" s="413">
        <v>0.001</v>
      </c>
      <c r="J127" s="391">
        <f>E127*I127</f>
        <v>0.006500000000000001</v>
      </c>
      <c r="K127" s="512" t="s">
        <v>2130</v>
      </c>
    </row>
    <row r="128" spans="1:11" ht="15">
      <c r="A128" s="113"/>
      <c r="B128" s="411"/>
      <c r="C128" s="423" t="s">
        <v>2084</v>
      </c>
      <c r="D128" s="411"/>
      <c r="E128" s="426"/>
      <c r="F128" s="412"/>
      <c r="G128" s="412"/>
      <c r="H128" s="412"/>
      <c r="I128" s="428"/>
      <c r="J128" s="392"/>
      <c r="K128" s="400"/>
    </row>
    <row r="129" spans="1:11" ht="15">
      <c r="A129" s="142"/>
      <c r="B129" s="134"/>
      <c r="C129" s="414" t="s">
        <v>2085</v>
      </c>
      <c r="D129" s="411"/>
      <c r="E129" s="426"/>
      <c r="F129" s="412"/>
      <c r="G129" s="412">
        <f>G127*0.03</f>
        <v>0</v>
      </c>
      <c r="H129" s="412"/>
      <c r="I129" s="413"/>
      <c r="J129" s="391"/>
      <c r="K129" s="400"/>
    </row>
    <row r="130" spans="1:11" ht="15">
      <c r="A130" s="417">
        <v>40</v>
      </c>
      <c r="B130" s="411" t="s">
        <v>2086</v>
      </c>
      <c r="C130" s="414" t="s">
        <v>2087</v>
      </c>
      <c r="D130" s="411" t="s">
        <v>1469</v>
      </c>
      <c r="E130" s="419">
        <v>13</v>
      </c>
      <c r="F130" s="516"/>
      <c r="G130" s="412"/>
      <c r="H130" s="415">
        <f>E130*F130</f>
        <v>0</v>
      </c>
      <c r="I130" s="416">
        <v>0</v>
      </c>
      <c r="J130" s="386">
        <f>E130*I130</f>
        <v>0</v>
      </c>
      <c r="K130" s="512" t="s">
        <v>2474</v>
      </c>
    </row>
    <row r="131" spans="1:11" ht="15">
      <c r="A131" s="417"/>
      <c r="B131" s="411"/>
      <c r="C131" s="423" t="s">
        <v>2088</v>
      </c>
      <c r="D131" s="411"/>
      <c r="E131" s="419"/>
      <c r="F131" s="412"/>
      <c r="G131" s="412"/>
      <c r="H131" s="412"/>
      <c r="I131" s="428"/>
      <c r="J131" s="385"/>
      <c r="K131" s="400"/>
    </row>
    <row r="132" spans="1:11" ht="15">
      <c r="A132" s="138">
        <v>41</v>
      </c>
      <c r="B132" s="411" t="s">
        <v>2089</v>
      </c>
      <c r="C132" s="414" t="s">
        <v>2090</v>
      </c>
      <c r="D132" s="411" t="s">
        <v>125</v>
      </c>
      <c r="E132" s="428">
        <v>0.00185</v>
      </c>
      <c r="F132" s="518"/>
      <c r="G132" s="412"/>
      <c r="H132" s="412">
        <f>E132*F132</f>
        <v>0</v>
      </c>
      <c r="I132" s="416">
        <v>0</v>
      </c>
      <c r="J132" s="389">
        <f>E132*I132</f>
        <v>0</v>
      </c>
      <c r="K132" s="512" t="s">
        <v>2474</v>
      </c>
    </row>
    <row r="133" spans="1:11" ht="15">
      <c r="A133" s="138"/>
      <c r="B133" s="418"/>
      <c r="C133" s="414" t="s">
        <v>2091</v>
      </c>
      <c r="D133" s="411"/>
      <c r="E133" s="454"/>
      <c r="F133" s="412"/>
      <c r="G133" s="412"/>
      <c r="H133" s="412"/>
      <c r="I133" s="416"/>
      <c r="J133" s="386"/>
      <c r="K133" s="400"/>
    </row>
    <row r="134" spans="1:11" ht="15">
      <c r="A134" s="138">
        <v>42</v>
      </c>
      <c r="B134" s="411" t="s">
        <v>2130</v>
      </c>
      <c r="C134" s="425" t="s">
        <v>2092</v>
      </c>
      <c r="D134" s="436"/>
      <c r="E134" s="437"/>
      <c r="F134" s="455"/>
      <c r="G134" s="455"/>
      <c r="H134" s="455"/>
      <c r="I134" s="455"/>
      <c r="J134" s="393"/>
      <c r="K134" s="512" t="s">
        <v>2130</v>
      </c>
    </row>
    <row r="135" spans="1:11" ht="15">
      <c r="A135" s="138"/>
      <c r="B135" s="411"/>
      <c r="C135" s="414" t="s">
        <v>2093</v>
      </c>
      <c r="D135" s="411"/>
      <c r="E135" s="420"/>
      <c r="F135" s="412"/>
      <c r="G135" s="412"/>
      <c r="H135" s="412"/>
      <c r="I135" s="416"/>
      <c r="J135" s="386"/>
      <c r="K135" s="400"/>
    </row>
    <row r="136" spans="1:11" ht="15">
      <c r="A136" s="138"/>
      <c r="B136" s="411"/>
      <c r="C136" s="423" t="s">
        <v>2094</v>
      </c>
      <c r="D136" s="411"/>
      <c r="E136" s="420"/>
      <c r="F136" s="412"/>
      <c r="G136" s="412"/>
      <c r="H136" s="412"/>
      <c r="I136" s="416"/>
      <c r="J136" s="386"/>
      <c r="K136" s="400"/>
    </row>
    <row r="137" spans="1:11" ht="15">
      <c r="A137" s="138"/>
      <c r="B137" s="411"/>
      <c r="C137" s="423" t="s">
        <v>2095</v>
      </c>
      <c r="D137" s="411" t="s">
        <v>1443</v>
      </c>
      <c r="E137" s="420">
        <v>1.85</v>
      </c>
      <c r="F137" s="516"/>
      <c r="G137" s="412">
        <f>E137*F137</f>
        <v>0</v>
      </c>
      <c r="H137" s="412"/>
      <c r="I137" s="416">
        <v>0.001</v>
      </c>
      <c r="J137" s="386">
        <f>E137*I137</f>
        <v>0.00185</v>
      </c>
      <c r="K137" s="512" t="s">
        <v>2130</v>
      </c>
    </row>
    <row r="138" spans="1:11" ht="15">
      <c r="A138" s="138"/>
      <c r="B138" s="411"/>
      <c r="C138" s="456" t="s">
        <v>2096</v>
      </c>
      <c r="D138" s="411"/>
      <c r="E138" s="454"/>
      <c r="F138" s="412"/>
      <c r="G138" s="412"/>
      <c r="H138" s="412"/>
      <c r="I138" s="416"/>
      <c r="J138" s="386"/>
      <c r="K138" s="400"/>
    </row>
    <row r="139" spans="1:11" ht="28.8">
      <c r="A139" s="138">
        <v>43</v>
      </c>
      <c r="B139" s="152">
        <v>111151121</v>
      </c>
      <c r="C139" s="152" t="s">
        <v>2097</v>
      </c>
      <c r="D139" s="411" t="s">
        <v>54</v>
      </c>
      <c r="E139" s="453">
        <v>15840</v>
      </c>
      <c r="F139" s="516"/>
      <c r="G139" s="415">
        <f>E139*F139</f>
        <v>0</v>
      </c>
      <c r="H139" s="412"/>
      <c r="I139" s="416">
        <v>0</v>
      </c>
      <c r="J139" s="386">
        <f>E139*I139</f>
        <v>0</v>
      </c>
      <c r="K139" s="512" t="s">
        <v>2474</v>
      </c>
    </row>
    <row r="140" spans="1:11" ht="15">
      <c r="A140" s="138"/>
      <c r="B140" s="152"/>
      <c r="C140" s="108" t="s">
        <v>2098</v>
      </c>
      <c r="D140" s="411"/>
      <c r="E140" s="420"/>
      <c r="F140" s="412"/>
      <c r="G140" s="412"/>
      <c r="H140" s="412"/>
      <c r="I140" s="416"/>
      <c r="J140" s="386"/>
      <c r="K140" s="400"/>
    </row>
    <row r="141" spans="1:11" ht="28.8">
      <c r="A141" s="138">
        <v>44</v>
      </c>
      <c r="B141" s="152">
        <v>111151123</v>
      </c>
      <c r="C141" s="152" t="s">
        <v>2099</v>
      </c>
      <c r="D141" s="411" t="s">
        <v>54</v>
      </c>
      <c r="E141" s="420">
        <v>2280</v>
      </c>
      <c r="F141" s="516"/>
      <c r="G141" s="415">
        <f>E141*F141</f>
        <v>0</v>
      </c>
      <c r="H141" s="412"/>
      <c r="I141" s="416">
        <v>0</v>
      </c>
      <c r="J141" s="386">
        <f>E141*I141</f>
        <v>0</v>
      </c>
      <c r="K141" s="512" t="s">
        <v>2474</v>
      </c>
    </row>
    <row r="142" spans="1:11" ht="15">
      <c r="A142" s="138"/>
      <c r="B142" s="152"/>
      <c r="C142" s="108" t="s">
        <v>2100</v>
      </c>
      <c r="D142" s="411"/>
      <c r="E142" s="420"/>
      <c r="F142" s="412"/>
      <c r="G142" s="412"/>
      <c r="H142" s="412"/>
      <c r="I142" s="416"/>
      <c r="J142" s="386"/>
      <c r="K142" s="400"/>
    </row>
    <row r="143" spans="1:11" ht="15">
      <c r="A143" s="138">
        <v>45</v>
      </c>
      <c r="B143" s="152">
        <v>111151132</v>
      </c>
      <c r="C143" s="152" t="s">
        <v>2101</v>
      </c>
      <c r="D143" s="411" t="s">
        <v>54</v>
      </c>
      <c r="E143" s="420">
        <v>130</v>
      </c>
      <c r="F143" s="516"/>
      <c r="G143" s="412">
        <f>E143*F143</f>
        <v>0</v>
      </c>
      <c r="H143" s="412"/>
      <c r="I143" s="416">
        <v>0</v>
      </c>
      <c r="J143" s="386">
        <f>E143*I143</f>
        <v>0</v>
      </c>
      <c r="K143" s="512" t="s">
        <v>2474</v>
      </c>
    </row>
    <row r="144" spans="1:11" ht="15">
      <c r="A144" s="138"/>
      <c r="B144" s="152"/>
      <c r="C144" s="108" t="s">
        <v>2102</v>
      </c>
      <c r="D144" s="411"/>
      <c r="E144" s="420"/>
      <c r="F144" s="412"/>
      <c r="G144" s="412"/>
      <c r="H144" s="412"/>
      <c r="I144" s="416"/>
      <c r="J144" s="386"/>
      <c r="K144" s="400"/>
    </row>
    <row r="145" spans="1:11" ht="15">
      <c r="A145" s="138">
        <v>46</v>
      </c>
      <c r="B145" s="152">
        <v>111151133</v>
      </c>
      <c r="C145" s="152" t="s">
        <v>2103</v>
      </c>
      <c r="D145" s="411" t="s">
        <v>54</v>
      </c>
      <c r="E145" s="420">
        <v>320</v>
      </c>
      <c r="F145" s="516"/>
      <c r="G145" s="412">
        <f>E145*F145</f>
        <v>0</v>
      </c>
      <c r="H145" s="412"/>
      <c r="I145" s="416">
        <v>0</v>
      </c>
      <c r="J145" s="386">
        <f>E145*I145</f>
        <v>0</v>
      </c>
      <c r="K145" s="512" t="s">
        <v>2474</v>
      </c>
    </row>
    <row r="146" spans="1:11" ht="15">
      <c r="A146" s="417"/>
      <c r="B146" s="411"/>
      <c r="C146" s="108" t="s">
        <v>2104</v>
      </c>
      <c r="D146" s="411"/>
      <c r="E146" s="431"/>
      <c r="F146" s="440"/>
      <c r="G146" s="412"/>
      <c r="H146" s="412"/>
      <c r="I146" s="413"/>
      <c r="J146" s="386"/>
      <c r="K146" s="400"/>
    </row>
    <row r="147" spans="1:11" ht="15">
      <c r="A147" s="417"/>
      <c r="B147" s="411"/>
      <c r="C147" s="456" t="s">
        <v>2105</v>
      </c>
      <c r="D147" s="411"/>
      <c r="E147" s="431"/>
      <c r="F147" s="440"/>
      <c r="G147" s="412"/>
      <c r="H147" s="412"/>
      <c r="I147" s="413"/>
      <c r="J147" s="386"/>
      <c r="K147" s="400"/>
    </row>
    <row r="148" spans="1:11" ht="15.6">
      <c r="A148" s="153">
        <v>47</v>
      </c>
      <c r="B148" s="130" t="s">
        <v>2106</v>
      </c>
      <c r="C148" s="137" t="s">
        <v>2107</v>
      </c>
      <c r="D148" s="130" t="s">
        <v>2004</v>
      </c>
      <c r="E148" s="117">
        <v>52</v>
      </c>
      <c r="F148" s="519"/>
      <c r="G148" s="143"/>
      <c r="H148" s="143">
        <f>E148*F148</f>
        <v>0</v>
      </c>
      <c r="I148" s="154">
        <v>0</v>
      </c>
      <c r="J148" s="389">
        <f>E148*I148</f>
        <v>0</v>
      </c>
      <c r="K148" s="512" t="s">
        <v>2474</v>
      </c>
    </row>
    <row r="149" spans="1:11" ht="15">
      <c r="A149" s="124"/>
      <c r="B149" s="411"/>
      <c r="C149" s="423" t="s">
        <v>2108</v>
      </c>
      <c r="D149" s="130"/>
      <c r="E149" s="125"/>
      <c r="F149" s="412"/>
      <c r="G149" s="412"/>
      <c r="H149" s="412"/>
      <c r="I149" s="413"/>
      <c r="J149" s="386"/>
      <c r="K149" s="400"/>
    </row>
    <row r="150" spans="1:11" ht="15">
      <c r="A150" s="124"/>
      <c r="B150" s="411"/>
      <c r="C150" s="423" t="s">
        <v>2109</v>
      </c>
      <c r="D150" s="130"/>
      <c r="E150" s="125"/>
      <c r="F150" s="412"/>
      <c r="G150" s="412"/>
      <c r="H150" s="412"/>
      <c r="I150" s="413"/>
      <c r="J150" s="386"/>
      <c r="K150" s="400"/>
    </row>
    <row r="151" spans="1:11" ht="15">
      <c r="A151" s="124"/>
      <c r="B151" s="411"/>
      <c r="C151" s="423" t="s">
        <v>2110</v>
      </c>
      <c r="D151" s="134"/>
      <c r="E151" s="144"/>
      <c r="F151" s="128"/>
      <c r="G151" s="128"/>
      <c r="H151" s="412"/>
      <c r="I151" s="145"/>
      <c r="J151" s="388"/>
      <c r="K151" s="400"/>
    </row>
    <row r="152" spans="1:11" ht="15">
      <c r="A152" s="147">
        <v>48</v>
      </c>
      <c r="B152" s="411" t="s">
        <v>2130</v>
      </c>
      <c r="C152" s="425" t="s">
        <v>2111</v>
      </c>
      <c r="D152" s="130"/>
      <c r="E152" s="424"/>
      <c r="F152" s="412"/>
      <c r="G152" s="412"/>
      <c r="H152" s="412"/>
      <c r="I152" s="413"/>
      <c r="J152" s="386"/>
      <c r="K152" s="512" t="s">
        <v>2130</v>
      </c>
    </row>
    <row r="153" spans="1:11" ht="15.6">
      <c r="A153" s="147"/>
      <c r="B153" s="411"/>
      <c r="C153" s="423" t="s">
        <v>2110</v>
      </c>
      <c r="D153" s="411" t="s">
        <v>2004</v>
      </c>
      <c r="E153" s="117">
        <v>52</v>
      </c>
      <c r="F153" s="516"/>
      <c r="G153" s="412">
        <f>E153*F153</f>
        <v>0</v>
      </c>
      <c r="H153" s="436"/>
      <c r="I153" s="413">
        <v>0</v>
      </c>
      <c r="J153" s="386">
        <f>E153*I153</f>
        <v>0</v>
      </c>
      <c r="K153" s="512" t="s">
        <v>2130</v>
      </c>
    </row>
    <row r="154" spans="1:11" ht="15.6">
      <c r="A154" s="153">
        <v>49</v>
      </c>
      <c r="B154" s="130" t="s">
        <v>2112</v>
      </c>
      <c r="C154" s="137" t="s">
        <v>2113</v>
      </c>
      <c r="D154" s="130" t="s">
        <v>2004</v>
      </c>
      <c r="E154" s="117">
        <v>52</v>
      </c>
      <c r="F154" s="519"/>
      <c r="G154" s="143"/>
      <c r="H154" s="143">
        <f>E154*F154</f>
        <v>0</v>
      </c>
      <c r="I154" s="154">
        <v>0</v>
      </c>
      <c r="J154" s="389">
        <f>E154*I154</f>
        <v>0</v>
      </c>
      <c r="K154" s="512" t="s">
        <v>2474</v>
      </c>
    </row>
    <row r="155" spans="1:11" ht="15">
      <c r="A155" s="124"/>
      <c r="B155" s="411"/>
      <c r="C155" s="423" t="s">
        <v>2110</v>
      </c>
      <c r="D155" s="130"/>
      <c r="E155" s="125"/>
      <c r="F155" s="412"/>
      <c r="G155" s="412"/>
      <c r="H155" s="412"/>
      <c r="I155" s="413"/>
      <c r="J155" s="386"/>
      <c r="K155" s="400"/>
    </row>
    <row r="156" spans="1:11" ht="15.6">
      <c r="A156" s="153">
        <v>50</v>
      </c>
      <c r="B156" s="130" t="s">
        <v>2114</v>
      </c>
      <c r="C156" s="137" t="s">
        <v>2115</v>
      </c>
      <c r="D156" s="130" t="s">
        <v>2004</v>
      </c>
      <c r="E156" s="117">
        <v>468</v>
      </c>
      <c r="F156" s="519"/>
      <c r="G156" s="143"/>
      <c r="H156" s="143">
        <f>E156*F156</f>
        <v>0</v>
      </c>
      <c r="I156" s="154">
        <v>0</v>
      </c>
      <c r="J156" s="389">
        <f>E156*I156</f>
        <v>0</v>
      </c>
      <c r="K156" s="512" t="s">
        <v>2474</v>
      </c>
    </row>
    <row r="157" spans="1:11" ht="15">
      <c r="A157" s="124"/>
      <c r="B157" s="411"/>
      <c r="C157" s="423" t="s">
        <v>2116</v>
      </c>
      <c r="D157" s="130"/>
      <c r="E157" s="125"/>
      <c r="F157" s="412"/>
      <c r="G157" s="412"/>
      <c r="H157" s="412"/>
      <c r="I157" s="413"/>
      <c r="J157" s="386"/>
      <c r="K157" s="400"/>
    </row>
    <row r="158" spans="1:11" ht="15">
      <c r="A158" s="138">
        <v>51</v>
      </c>
      <c r="B158" s="457">
        <v>184911111</v>
      </c>
      <c r="C158" s="457" t="s">
        <v>2117</v>
      </c>
      <c r="D158" s="411" t="s">
        <v>1469</v>
      </c>
      <c r="E158" s="420">
        <v>13</v>
      </c>
      <c r="F158" s="516"/>
      <c r="G158" s="412">
        <f aca="true" t="shared" si="0" ref="G158:G163">E158*F158</f>
        <v>0</v>
      </c>
      <c r="H158" s="412"/>
      <c r="I158" s="416">
        <v>0</v>
      </c>
      <c r="J158" s="386">
        <f aca="true" t="shared" si="1" ref="J158:J163">E158*I158</f>
        <v>0</v>
      </c>
      <c r="K158" s="512" t="s">
        <v>2474</v>
      </c>
    </row>
    <row r="159" spans="1:11" ht="15">
      <c r="A159" s="124">
        <v>52</v>
      </c>
      <c r="B159" s="457">
        <v>185804513</v>
      </c>
      <c r="C159" s="457" t="s">
        <v>2118</v>
      </c>
      <c r="D159" s="411" t="s">
        <v>54</v>
      </c>
      <c r="E159" s="420">
        <v>65</v>
      </c>
      <c r="F159" s="516"/>
      <c r="G159" s="412">
        <f t="shared" si="0"/>
        <v>0</v>
      </c>
      <c r="H159" s="412"/>
      <c r="I159" s="416">
        <v>0</v>
      </c>
      <c r="J159" s="386">
        <f t="shared" si="1"/>
        <v>0</v>
      </c>
      <c r="K159" s="512" t="s">
        <v>2474</v>
      </c>
    </row>
    <row r="160" spans="1:11" ht="15">
      <c r="A160" s="124">
        <v>53</v>
      </c>
      <c r="B160" s="152">
        <v>184215173</v>
      </c>
      <c r="C160" s="152" t="s">
        <v>2119</v>
      </c>
      <c r="D160" s="411" t="s">
        <v>1469</v>
      </c>
      <c r="E160" s="420">
        <v>11</v>
      </c>
      <c r="F160" s="516"/>
      <c r="G160" s="412">
        <f t="shared" si="0"/>
        <v>0</v>
      </c>
      <c r="H160" s="412"/>
      <c r="I160" s="416">
        <v>0</v>
      </c>
      <c r="J160" s="386">
        <f t="shared" si="1"/>
        <v>0</v>
      </c>
      <c r="K160" s="512" t="s">
        <v>2474</v>
      </c>
    </row>
    <row r="161" spans="1:11" ht="15">
      <c r="A161" s="124">
        <v>54</v>
      </c>
      <c r="B161" s="152">
        <v>184215153</v>
      </c>
      <c r="C161" s="152" t="s">
        <v>2120</v>
      </c>
      <c r="D161" s="411" t="s">
        <v>1469</v>
      </c>
      <c r="E161" s="420">
        <v>2</v>
      </c>
      <c r="F161" s="516"/>
      <c r="G161" s="412">
        <f t="shared" si="0"/>
        <v>0</v>
      </c>
      <c r="H161" s="412"/>
      <c r="I161" s="416">
        <v>0</v>
      </c>
      <c r="J161" s="386">
        <f t="shared" si="1"/>
        <v>0</v>
      </c>
      <c r="K161" s="512" t="s">
        <v>2474</v>
      </c>
    </row>
    <row r="162" spans="1:11" ht="15">
      <c r="A162" s="124">
        <v>55</v>
      </c>
      <c r="B162" s="152">
        <v>184501181</v>
      </c>
      <c r="C162" s="152" t="s">
        <v>2121</v>
      </c>
      <c r="D162" s="411" t="s">
        <v>1469</v>
      </c>
      <c r="E162" s="420">
        <v>11</v>
      </c>
      <c r="F162" s="516"/>
      <c r="G162" s="412">
        <f t="shared" si="0"/>
        <v>0</v>
      </c>
      <c r="H162" s="412"/>
      <c r="I162" s="416">
        <v>0</v>
      </c>
      <c r="J162" s="386">
        <f t="shared" si="1"/>
        <v>0</v>
      </c>
      <c r="K162" s="512" t="s">
        <v>2474</v>
      </c>
    </row>
    <row r="163" spans="1:11" ht="15">
      <c r="A163" s="124">
        <v>56</v>
      </c>
      <c r="B163" s="155" t="s">
        <v>2122</v>
      </c>
      <c r="C163" s="152" t="s">
        <v>2123</v>
      </c>
      <c r="D163" s="411" t="s">
        <v>1469</v>
      </c>
      <c r="E163" s="420">
        <v>22</v>
      </c>
      <c r="F163" s="516"/>
      <c r="G163" s="412">
        <f t="shared" si="0"/>
        <v>0</v>
      </c>
      <c r="H163" s="412"/>
      <c r="I163" s="416">
        <v>0</v>
      </c>
      <c r="J163" s="386">
        <f t="shared" si="1"/>
        <v>0</v>
      </c>
      <c r="K163" s="512" t="s">
        <v>2474</v>
      </c>
    </row>
    <row r="164" spans="1:11" ht="15">
      <c r="A164" s="443"/>
      <c r="B164" s="411"/>
      <c r="C164" s="423" t="s">
        <v>2124</v>
      </c>
      <c r="D164" s="411"/>
      <c r="E164" s="426"/>
      <c r="F164" s="412"/>
      <c r="G164" s="412"/>
      <c r="H164" s="412"/>
      <c r="I164" s="428"/>
      <c r="J164" s="385"/>
      <c r="K164" s="400"/>
    </row>
    <row r="165" spans="1:11" ht="15">
      <c r="A165" s="443"/>
      <c r="B165" s="411"/>
      <c r="C165" s="458"/>
      <c r="D165" s="459"/>
      <c r="E165" s="460"/>
      <c r="F165" s="461"/>
      <c r="G165" s="462"/>
      <c r="H165" s="462"/>
      <c r="I165" s="463"/>
      <c r="J165" s="394"/>
      <c r="K165" s="400"/>
    </row>
    <row r="166" spans="1:11" ht="15">
      <c r="A166" s="443"/>
      <c r="B166" s="411"/>
      <c r="C166" s="464" t="s">
        <v>2125</v>
      </c>
      <c r="D166" s="465"/>
      <c r="E166" s="466"/>
      <c r="F166" s="467"/>
      <c r="G166" s="468">
        <f>SUM(G28:G165)</f>
        <v>0</v>
      </c>
      <c r="H166" s="469">
        <f>SUM(H28:H165)</f>
        <v>0</v>
      </c>
      <c r="I166" s="470"/>
      <c r="J166" s="395"/>
      <c r="K166" s="400"/>
    </row>
    <row r="167" spans="1:11" ht="15">
      <c r="A167" s="443"/>
      <c r="B167" s="411"/>
      <c r="C167" s="471" t="s">
        <v>2126</v>
      </c>
      <c r="D167" s="472"/>
      <c r="E167" s="473"/>
      <c r="F167" s="474"/>
      <c r="G167" s="475"/>
      <c r="H167" s="476">
        <f>G166+H166</f>
        <v>0</v>
      </c>
      <c r="I167" s="477"/>
      <c r="J167" s="396">
        <f>SUM(J28:J166)</f>
        <v>3.1149699999999996</v>
      </c>
      <c r="K167" s="400"/>
    </row>
    <row r="168" spans="1:11" ht="15">
      <c r="A168" s="443"/>
      <c r="B168" s="411"/>
      <c r="C168" s="464"/>
      <c r="D168" s="465"/>
      <c r="E168" s="466"/>
      <c r="F168" s="467"/>
      <c r="G168" s="467"/>
      <c r="H168" s="478"/>
      <c r="I168" s="470"/>
      <c r="J168" s="396"/>
      <c r="K168" s="400"/>
    </row>
    <row r="169" spans="1:11" ht="15">
      <c r="A169" s="504"/>
      <c r="B169" s="505" t="s">
        <v>2010</v>
      </c>
      <c r="C169" s="506" t="s">
        <v>2127</v>
      </c>
      <c r="D169" s="497"/>
      <c r="E169" s="507"/>
      <c r="F169" s="500"/>
      <c r="G169" s="500"/>
      <c r="H169" s="500"/>
      <c r="I169" s="501"/>
      <c r="J169" s="508"/>
      <c r="K169" s="509"/>
    </row>
    <row r="170" spans="1:11" ht="15" thickBot="1">
      <c r="A170" s="479">
        <v>57</v>
      </c>
      <c r="B170" s="480" t="s">
        <v>2128</v>
      </c>
      <c r="C170" s="481" t="s">
        <v>2129</v>
      </c>
      <c r="D170" s="480" t="s">
        <v>125</v>
      </c>
      <c r="E170" s="482">
        <f>J167</f>
        <v>3.1149699999999996</v>
      </c>
      <c r="F170" s="520"/>
      <c r="G170" s="483"/>
      <c r="H170" s="484">
        <f>F170*E170</f>
        <v>0</v>
      </c>
      <c r="I170" s="485">
        <v>0</v>
      </c>
      <c r="J170" s="486">
        <f>E170*I170</f>
        <v>0</v>
      </c>
      <c r="K170" s="487"/>
    </row>
    <row r="171" ht="15" thickTop="1"/>
    <row r="172" spans="7:8" ht="15">
      <c r="G172" s="156" t="s">
        <v>34</v>
      </c>
      <c r="H172" s="157">
        <f>H170+H167+H26</f>
        <v>0</v>
      </c>
    </row>
  </sheetData>
  <sheetProtection algorithmName="SHA-512" hashValue="OAUcjs1cHkdVfnVDES2r5jhtYC5tyH4yucvloIyN8DWQ0ihiFSUfuc5XxTyJMQ1LFaqnjVddMqprtzdYK0TTPw==" saltValue="V3SexBkioHvNOONY2IuhUQ==" spinCount="100000" sheet="1" objects="1" scenarios="1"/>
  <mergeCells count="14">
    <mergeCell ref="I3:I4"/>
    <mergeCell ref="J3:J4"/>
    <mergeCell ref="S16:S17"/>
    <mergeCell ref="A1:J1"/>
    <mergeCell ref="A2:A4"/>
    <mergeCell ref="B2:B4"/>
    <mergeCell ref="C2:C4"/>
    <mergeCell ref="D2:D4"/>
    <mergeCell ref="E2:E4"/>
    <mergeCell ref="F2:H2"/>
    <mergeCell ref="I2:J2"/>
    <mergeCell ref="F3:F4"/>
    <mergeCell ref="G3:H3"/>
    <mergeCell ref="K2:K4"/>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85" r:id="rId1"/>
  <headerFooter>
    <oddFooter>&amp;CStrana &amp;P z &amp;N</oddFooter>
  </headerFooter>
  <rowBreaks count="1" manualBreakCount="1">
    <brk id="12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98766-F898-4129-B0C8-0675082C36D3}">
  <sheetPr>
    <outlinePr summaryBelow="0"/>
  </sheetPr>
  <dimension ref="A1:BG5000"/>
  <sheetViews>
    <sheetView view="pageBreakPreview" zoomScale="145" zoomScaleSheetLayoutView="145" workbookViewId="0" topLeftCell="A27">
      <pane xSplit="1" topLeftCell="B1" activePane="topRight" state="frozen"/>
      <selection pane="topLeft" activeCell="A8" sqref="A8"/>
      <selection pane="topRight" activeCell="G8" sqref="G8"/>
    </sheetView>
  </sheetViews>
  <sheetFormatPr defaultColWidth="8.8515625" defaultRowHeight="15" outlineLevelRow="3"/>
  <cols>
    <col min="1" max="1" width="3.421875" style="210" customWidth="1"/>
    <col min="2" max="2" width="12.7109375" style="213" customWidth="1"/>
    <col min="3" max="3" width="63.28125" style="213" customWidth="1"/>
    <col min="4" max="4" width="4.8515625" style="210" customWidth="1"/>
    <col min="5" max="5" width="10.7109375" style="210" customWidth="1"/>
    <col min="6" max="6" width="9.8515625" style="210" customWidth="1"/>
    <col min="7" max="7" width="12.7109375" style="210" customWidth="1"/>
    <col min="8" max="17" width="8.8515625" style="210" hidden="1" customWidth="1"/>
    <col min="18" max="18" width="6.8515625" style="210" customWidth="1"/>
    <col min="19" max="19" width="8.8515625" style="210" customWidth="1"/>
    <col min="20" max="24" width="8.8515625" style="210" hidden="1" customWidth="1"/>
    <col min="25" max="27" width="8.8515625" style="210" customWidth="1"/>
    <col min="28" max="28" width="8.8515625" style="210" hidden="1" customWidth="1"/>
    <col min="29" max="29" width="8.8515625" style="210" customWidth="1"/>
    <col min="30" max="40" width="8.8515625" style="210" hidden="1" customWidth="1"/>
    <col min="41" max="51" width="8.8515625" style="210" customWidth="1"/>
    <col min="52" max="52" width="98.7109375" style="210" hidden="1" customWidth="1"/>
    <col min="53" max="16384" width="8.8515625" style="210" customWidth="1"/>
  </cols>
  <sheetData>
    <row r="1" spans="1:32" ht="15.75" customHeight="1">
      <c r="A1" s="594" t="s">
        <v>2322</v>
      </c>
      <c r="B1" s="594"/>
      <c r="C1" s="594"/>
      <c r="D1" s="594"/>
      <c r="E1" s="594"/>
      <c r="F1" s="594"/>
      <c r="G1" s="594"/>
      <c r="AF1" s="210" t="s">
        <v>2143</v>
      </c>
    </row>
    <row r="2" spans="1:32" ht="25.2" customHeight="1">
      <c r="A2" s="211" t="s">
        <v>2144</v>
      </c>
      <c r="B2" s="212" t="s">
        <v>2145</v>
      </c>
      <c r="C2" s="595" t="s">
        <v>2146</v>
      </c>
      <c r="D2" s="596"/>
      <c r="E2" s="596"/>
      <c r="F2" s="596"/>
      <c r="G2" s="596"/>
      <c r="H2" s="596"/>
      <c r="I2" s="596"/>
      <c r="J2" s="596"/>
      <c r="K2" s="596"/>
      <c r="L2" s="596"/>
      <c r="M2" s="596"/>
      <c r="N2" s="596"/>
      <c r="O2" s="596"/>
      <c r="P2" s="596"/>
      <c r="Q2" s="596"/>
      <c r="R2" s="596"/>
      <c r="S2" s="597"/>
      <c r="AF2" s="210" t="s">
        <v>2147</v>
      </c>
    </row>
    <row r="3" spans="1:32" ht="25.2" customHeight="1">
      <c r="A3" s="211" t="s">
        <v>2148</v>
      </c>
      <c r="B3" s="212" t="s">
        <v>2323</v>
      </c>
      <c r="C3" s="595" t="s">
        <v>2324</v>
      </c>
      <c r="D3" s="596"/>
      <c r="E3" s="596"/>
      <c r="F3" s="596"/>
      <c r="G3" s="596"/>
      <c r="H3" s="596"/>
      <c r="I3" s="596"/>
      <c r="J3" s="596"/>
      <c r="K3" s="596"/>
      <c r="L3" s="596"/>
      <c r="M3" s="596"/>
      <c r="N3" s="596"/>
      <c r="O3" s="596"/>
      <c r="P3" s="596"/>
      <c r="Q3" s="596"/>
      <c r="R3" s="596"/>
      <c r="S3" s="597"/>
      <c r="AB3" s="213" t="s">
        <v>2325</v>
      </c>
      <c r="AF3" s="210" t="s">
        <v>2151</v>
      </c>
    </row>
    <row r="4" spans="1:32" ht="25.2" customHeight="1">
      <c r="A4" s="214" t="s">
        <v>2152</v>
      </c>
      <c r="B4" s="215" t="s">
        <v>880</v>
      </c>
      <c r="C4" s="598" t="s">
        <v>2326</v>
      </c>
      <c r="D4" s="599"/>
      <c r="E4" s="599"/>
      <c r="F4" s="599"/>
      <c r="G4" s="599"/>
      <c r="H4" s="599"/>
      <c r="I4" s="599"/>
      <c r="J4" s="599"/>
      <c r="K4" s="599"/>
      <c r="L4" s="599"/>
      <c r="M4" s="599"/>
      <c r="N4" s="599"/>
      <c r="O4" s="599"/>
      <c r="P4" s="599"/>
      <c r="Q4" s="599"/>
      <c r="R4" s="599"/>
      <c r="S4" s="600"/>
      <c r="AF4" s="210" t="s">
        <v>2154</v>
      </c>
    </row>
    <row r="5" ht="15">
      <c r="D5" s="216"/>
    </row>
    <row r="6" spans="1:24" ht="39.6">
      <c r="A6" s="217" t="s">
        <v>2155</v>
      </c>
      <c r="B6" s="218" t="s">
        <v>2156</v>
      </c>
      <c r="C6" s="218" t="s">
        <v>2157</v>
      </c>
      <c r="D6" s="219" t="s">
        <v>22</v>
      </c>
      <c r="E6" s="217" t="s">
        <v>23</v>
      </c>
      <c r="F6" s="220" t="s">
        <v>2158</v>
      </c>
      <c r="G6" s="217" t="s">
        <v>34</v>
      </c>
      <c r="H6" s="221" t="s">
        <v>32</v>
      </c>
      <c r="I6" s="221" t="s">
        <v>2159</v>
      </c>
      <c r="J6" s="221" t="s">
        <v>33</v>
      </c>
      <c r="K6" s="221" t="s">
        <v>2160</v>
      </c>
      <c r="L6" s="221" t="s">
        <v>859</v>
      </c>
      <c r="M6" s="221" t="s">
        <v>2161</v>
      </c>
      <c r="N6" s="221" t="s">
        <v>2162</v>
      </c>
      <c r="O6" s="221" t="s">
        <v>2163</v>
      </c>
      <c r="P6" s="221" t="s">
        <v>2164</v>
      </c>
      <c r="Q6" s="221" t="s">
        <v>2165</v>
      </c>
      <c r="R6" s="221" t="s">
        <v>2166</v>
      </c>
      <c r="S6" s="221" t="s">
        <v>2167</v>
      </c>
      <c r="T6" s="221" t="s">
        <v>2168</v>
      </c>
      <c r="U6" s="221" t="s">
        <v>2169</v>
      </c>
      <c r="V6" s="221" t="s">
        <v>2170</v>
      </c>
      <c r="W6" s="221" t="s">
        <v>2171</v>
      </c>
      <c r="X6" s="221" t="s">
        <v>2172</v>
      </c>
    </row>
    <row r="7" spans="1:24" ht="15" hidden="1">
      <c r="A7" s="222"/>
      <c r="B7" s="223"/>
      <c r="C7" s="223"/>
      <c r="D7" s="224"/>
      <c r="E7" s="225"/>
      <c r="F7" s="226"/>
      <c r="G7" s="226"/>
      <c r="H7" s="226"/>
      <c r="I7" s="226"/>
      <c r="J7" s="226"/>
      <c r="K7" s="226"/>
      <c r="L7" s="226"/>
      <c r="M7" s="226"/>
      <c r="N7" s="225"/>
      <c r="O7" s="225"/>
      <c r="P7" s="225"/>
      <c r="Q7" s="225"/>
      <c r="R7" s="226"/>
      <c r="S7" s="226"/>
      <c r="T7" s="226"/>
      <c r="U7" s="226"/>
      <c r="V7" s="226"/>
      <c r="W7" s="226"/>
      <c r="X7" s="226"/>
    </row>
    <row r="8" spans="1:32" ht="15">
      <c r="A8" s="227" t="s">
        <v>2173</v>
      </c>
      <c r="B8" s="228" t="s">
        <v>2327</v>
      </c>
      <c r="C8" s="229" t="s">
        <v>2328</v>
      </c>
      <c r="D8" s="230"/>
      <c r="E8" s="231"/>
      <c r="F8" s="232"/>
      <c r="G8" s="232">
        <f>SUMIF(AF9:AF25,"&lt;&gt;NOR",G9:G25)</f>
        <v>0</v>
      </c>
      <c r="H8" s="232"/>
      <c r="I8" s="232">
        <f>SUM(I9:I25)</f>
        <v>0</v>
      </c>
      <c r="J8" s="232"/>
      <c r="K8" s="232">
        <f>SUM(K9:K25)</f>
        <v>104445.04</v>
      </c>
      <c r="L8" s="232"/>
      <c r="M8" s="232">
        <f>SUM(M9:M25)</f>
        <v>0</v>
      </c>
      <c r="N8" s="231"/>
      <c r="O8" s="231">
        <f>SUM(O9:O25)</f>
        <v>0</v>
      </c>
      <c r="P8" s="231"/>
      <c r="Q8" s="231">
        <f>SUM(Q9:Q25)</f>
        <v>0</v>
      </c>
      <c r="R8" s="232"/>
      <c r="S8" s="232"/>
      <c r="T8" s="233"/>
      <c r="U8" s="233">
        <f>SUM(U9:U25)</f>
        <v>0</v>
      </c>
      <c r="V8" s="233"/>
      <c r="W8" s="233"/>
      <c r="X8" s="233"/>
      <c r="AF8" s="210" t="s">
        <v>2174</v>
      </c>
    </row>
    <row r="9" spans="1:59" ht="15" outlineLevel="1">
      <c r="A9" s="234">
        <v>1</v>
      </c>
      <c r="B9" s="235" t="s">
        <v>2329</v>
      </c>
      <c r="C9" s="236" t="s">
        <v>2330</v>
      </c>
      <c r="D9" s="237" t="s">
        <v>2331</v>
      </c>
      <c r="E9" s="238">
        <v>1</v>
      </c>
      <c r="F9" s="239"/>
      <c r="G9" s="240">
        <f>ROUND(E9*F9,2)</f>
        <v>0</v>
      </c>
      <c r="H9" s="239">
        <v>0</v>
      </c>
      <c r="I9" s="240">
        <f>ROUND(E9*H9,2)</f>
        <v>0</v>
      </c>
      <c r="J9" s="239">
        <v>5575.35</v>
      </c>
      <c r="K9" s="240">
        <f>ROUND(E9*J9,2)</f>
        <v>5575.35</v>
      </c>
      <c r="L9" s="240">
        <v>21</v>
      </c>
      <c r="M9" s="240">
        <f>G9*(1+L9/100)</f>
        <v>0</v>
      </c>
      <c r="N9" s="238">
        <v>0</v>
      </c>
      <c r="O9" s="238">
        <f>ROUND(E9*N9,2)</f>
        <v>0</v>
      </c>
      <c r="P9" s="238">
        <v>0</v>
      </c>
      <c r="Q9" s="238">
        <f>ROUND(E9*P9,2)</f>
        <v>0</v>
      </c>
      <c r="R9" s="240"/>
      <c r="S9" s="240" t="s">
        <v>2177</v>
      </c>
      <c r="T9" s="241">
        <v>0</v>
      </c>
      <c r="U9" s="241">
        <f>ROUND(E9*T9,2)</f>
        <v>0</v>
      </c>
      <c r="V9" s="241"/>
      <c r="W9" s="241" t="s">
        <v>1170</v>
      </c>
      <c r="X9" s="241" t="s">
        <v>2179</v>
      </c>
      <c r="Y9" s="242"/>
      <c r="Z9" s="242"/>
      <c r="AA9" s="242"/>
      <c r="AB9" s="242"/>
      <c r="AC9" s="242"/>
      <c r="AD9" s="242"/>
      <c r="AE9" s="242"/>
      <c r="AF9" s="242" t="s">
        <v>2332</v>
      </c>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row>
    <row r="10" spans="1:59" ht="15" outlineLevel="2">
      <c r="A10" s="243"/>
      <c r="B10" s="244"/>
      <c r="C10" s="590" t="s">
        <v>2333</v>
      </c>
      <c r="D10" s="591"/>
      <c r="E10" s="591"/>
      <c r="F10" s="591"/>
      <c r="G10" s="591"/>
      <c r="H10" s="241"/>
      <c r="I10" s="241"/>
      <c r="J10" s="241"/>
      <c r="K10" s="241"/>
      <c r="L10" s="241"/>
      <c r="M10" s="241"/>
      <c r="N10" s="245"/>
      <c r="O10" s="245"/>
      <c r="P10" s="245"/>
      <c r="Q10" s="245"/>
      <c r="R10" s="241"/>
      <c r="S10" s="241"/>
      <c r="T10" s="241"/>
      <c r="U10" s="241"/>
      <c r="V10" s="241"/>
      <c r="W10" s="241"/>
      <c r="X10" s="241"/>
      <c r="Y10" s="242"/>
      <c r="Z10" s="242"/>
      <c r="AA10" s="242"/>
      <c r="AB10" s="242"/>
      <c r="AC10" s="242"/>
      <c r="AD10" s="242"/>
      <c r="AE10" s="242"/>
      <c r="AF10" s="242" t="s">
        <v>2285</v>
      </c>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row>
    <row r="11" spans="1:59" ht="15" outlineLevel="3">
      <c r="A11" s="243"/>
      <c r="B11" s="244"/>
      <c r="C11" s="592" t="s">
        <v>2334</v>
      </c>
      <c r="D11" s="593"/>
      <c r="E11" s="593"/>
      <c r="F11" s="593"/>
      <c r="G11" s="593"/>
      <c r="H11" s="241"/>
      <c r="I11" s="241"/>
      <c r="J11" s="241"/>
      <c r="K11" s="241"/>
      <c r="L11" s="241"/>
      <c r="M11" s="241"/>
      <c r="N11" s="245"/>
      <c r="O11" s="245"/>
      <c r="P11" s="245"/>
      <c r="Q11" s="245"/>
      <c r="R11" s="241"/>
      <c r="S11" s="241"/>
      <c r="T11" s="241"/>
      <c r="U11" s="241"/>
      <c r="V11" s="241"/>
      <c r="W11" s="241"/>
      <c r="X11" s="241"/>
      <c r="Y11" s="242"/>
      <c r="Z11" s="242"/>
      <c r="AA11" s="242"/>
      <c r="AB11" s="242"/>
      <c r="AC11" s="242"/>
      <c r="AD11" s="242"/>
      <c r="AE11" s="242"/>
      <c r="AF11" s="242" t="s">
        <v>2285</v>
      </c>
      <c r="AG11" s="242"/>
      <c r="AH11" s="242"/>
      <c r="AI11" s="242"/>
      <c r="AJ11" s="242"/>
      <c r="AK11" s="242"/>
      <c r="AL11" s="242"/>
      <c r="AM11" s="242"/>
      <c r="AN11" s="242"/>
      <c r="AO11" s="242"/>
      <c r="AP11" s="242"/>
      <c r="AQ11" s="242"/>
      <c r="AR11" s="242"/>
      <c r="AS11" s="242"/>
      <c r="AT11" s="242"/>
      <c r="AU11" s="242"/>
      <c r="AV11" s="242"/>
      <c r="AW11" s="242"/>
      <c r="AX11" s="242"/>
      <c r="AY11" s="242"/>
      <c r="AZ11" s="249" t="str">
        <f>C11</f>
        <v>Vyhotovení protokolu o vytyčení stavby se seznamem souřadnic vytyčených bodů a jejich polohopisnými (S-JTSK) a výškopisnými (Bpv) hodnotami.</v>
      </c>
      <c r="BA11" s="242"/>
      <c r="BB11" s="242"/>
      <c r="BC11" s="242"/>
      <c r="BD11" s="242"/>
      <c r="BE11" s="242"/>
      <c r="BF11" s="242"/>
      <c r="BG11" s="242"/>
    </row>
    <row r="12" spans="1:59" ht="15" outlineLevel="1">
      <c r="A12" s="234">
        <v>2</v>
      </c>
      <c r="B12" s="235" t="s">
        <v>2335</v>
      </c>
      <c r="C12" s="236" t="s">
        <v>2336</v>
      </c>
      <c r="D12" s="237" t="s">
        <v>2331</v>
      </c>
      <c r="E12" s="238">
        <v>1</v>
      </c>
      <c r="F12" s="239"/>
      <c r="G12" s="240">
        <f>ROUND(E12*F12,2)</f>
        <v>0</v>
      </c>
      <c r="H12" s="239">
        <v>0</v>
      </c>
      <c r="I12" s="240">
        <f>ROUND(E12*H12,2)</f>
        <v>0</v>
      </c>
      <c r="J12" s="239">
        <v>0</v>
      </c>
      <c r="K12" s="240">
        <f>ROUND(E12*J12,2)</f>
        <v>0</v>
      </c>
      <c r="L12" s="240">
        <v>21</v>
      </c>
      <c r="M12" s="240">
        <f>G12*(1+L12/100)</f>
        <v>0</v>
      </c>
      <c r="N12" s="238">
        <v>0</v>
      </c>
      <c r="O12" s="238">
        <f>ROUND(E12*N12,2)</f>
        <v>0</v>
      </c>
      <c r="P12" s="238">
        <v>0</v>
      </c>
      <c r="Q12" s="238">
        <f>ROUND(E12*P12,2)</f>
        <v>0</v>
      </c>
      <c r="R12" s="240"/>
      <c r="S12" s="240" t="s">
        <v>2177</v>
      </c>
      <c r="T12" s="241">
        <v>0</v>
      </c>
      <c r="U12" s="241">
        <f>ROUND(E12*T12,2)</f>
        <v>0</v>
      </c>
      <c r="V12" s="241"/>
      <c r="W12" s="241" t="s">
        <v>1170</v>
      </c>
      <c r="X12" s="241" t="s">
        <v>2179</v>
      </c>
      <c r="Y12" s="242"/>
      <c r="Z12" s="242"/>
      <c r="AA12" s="242"/>
      <c r="AB12" s="242"/>
      <c r="AC12" s="242"/>
      <c r="AD12" s="242"/>
      <c r="AE12" s="242"/>
      <c r="AF12" s="242" t="s">
        <v>2332</v>
      </c>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row>
    <row r="13" spans="1:59" ht="15" outlineLevel="2">
      <c r="A13" s="243"/>
      <c r="B13" s="244"/>
      <c r="C13" s="590" t="s">
        <v>2337</v>
      </c>
      <c r="D13" s="591"/>
      <c r="E13" s="591"/>
      <c r="F13" s="591"/>
      <c r="G13" s="591"/>
      <c r="H13" s="241"/>
      <c r="I13" s="241"/>
      <c r="J13" s="241"/>
      <c r="K13" s="241"/>
      <c r="L13" s="241"/>
      <c r="M13" s="241"/>
      <c r="N13" s="245"/>
      <c r="O13" s="245"/>
      <c r="P13" s="245"/>
      <c r="Q13" s="245"/>
      <c r="R13" s="241"/>
      <c r="S13" s="241"/>
      <c r="T13" s="241"/>
      <c r="U13" s="241"/>
      <c r="V13" s="241"/>
      <c r="W13" s="241"/>
      <c r="X13" s="241"/>
      <c r="Y13" s="242"/>
      <c r="Z13" s="242"/>
      <c r="AA13" s="242"/>
      <c r="AB13" s="242"/>
      <c r="AC13" s="242"/>
      <c r="AD13" s="242"/>
      <c r="AE13" s="242"/>
      <c r="AF13" s="242" t="s">
        <v>2285</v>
      </c>
      <c r="AG13" s="242"/>
      <c r="AH13" s="242"/>
      <c r="AI13" s="242"/>
      <c r="AJ13" s="242"/>
      <c r="AK13" s="242"/>
      <c r="AL13" s="242"/>
      <c r="AM13" s="242"/>
      <c r="AN13" s="242"/>
      <c r="AO13" s="242"/>
      <c r="AP13" s="242"/>
      <c r="AQ13" s="242"/>
      <c r="AR13" s="242"/>
      <c r="AS13" s="242"/>
      <c r="AT13" s="242"/>
      <c r="AU13" s="242"/>
      <c r="AV13" s="242"/>
      <c r="AW13" s="242"/>
      <c r="AX13" s="242"/>
      <c r="AY13" s="242"/>
      <c r="AZ13" s="249" t="str">
        <f>C13</f>
        <v>Zaměření a vytýčení stávajících inženýrských sítí v místě stavby z hlediska jejich ochrany při provádění stavby.</v>
      </c>
      <c r="BA13" s="242"/>
      <c r="BB13" s="242"/>
      <c r="BC13" s="242"/>
      <c r="BD13" s="242"/>
      <c r="BE13" s="242"/>
      <c r="BF13" s="242"/>
      <c r="BG13" s="242"/>
    </row>
    <row r="14" spans="1:59" ht="15" outlineLevel="1">
      <c r="A14" s="234">
        <v>3</v>
      </c>
      <c r="B14" s="235" t="s">
        <v>2338</v>
      </c>
      <c r="C14" s="236" t="s">
        <v>2339</v>
      </c>
      <c r="D14" s="237" t="s">
        <v>2331</v>
      </c>
      <c r="E14" s="238">
        <v>1</v>
      </c>
      <c r="F14" s="239"/>
      <c r="G14" s="240">
        <f>ROUND(E14*F14,2)</f>
        <v>0</v>
      </c>
      <c r="H14" s="239">
        <v>0</v>
      </c>
      <c r="I14" s="240">
        <f>ROUND(E14*H14,2)</f>
        <v>0</v>
      </c>
      <c r="J14" s="239">
        <v>16726.04</v>
      </c>
      <c r="K14" s="240">
        <f>ROUND(E14*J14,2)</f>
        <v>16726.04</v>
      </c>
      <c r="L14" s="240">
        <v>21</v>
      </c>
      <c r="M14" s="240">
        <f>G14*(1+L14/100)</f>
        <v>0</v>
      </c>
      <c r="N14" s="238">
        <v>0</v>
      </c>
      <c r="O14" s="238">
        <f>ROUND(E14*N14,2)</f>
        <v>0</v>
      </c>
      <c r="P14" s="238">
        <v>0</v>
      </c>
      <c r="Q14" s="238">
        <f>ROUND(E14*P14,2)</f>
        <v>0</v>
      </c>
      <c r="R14" s="240"/>
      <c r="S14" s="240" t="s">
        <v>2177</v>
      </c>
      <c r="T14" s="241">
        <v>0</v>
      </c>
      <c r="U14" s="241">
        <f>ROUND(E14*T14,2)</f>
        <v>0</v>
      </c>
      <c r="V14" s="241"/>
      <c r="W14" s="241" t="s">
        <v>1170</v>
      </c>
      <c r="X14" s="241" t="s">
        <v>2179</v>
      </c>
      <c r="Y14" s="242"/>
      <c r="Z14" s="242"/>
      <c r="AA14" s="242"/>
      <c r="AB14" s="242"/>
      <c r="AC14" s="242"/>
      <c r="AD14" s="242"/>
      <c r="AE14" s="242"/>
      <c r="AF14" s="242" t="s">
        <v>2332</v>
      </c>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row>
    <row r="15" spans="1:59" ht="21" outlineLevel="2">
      <c r="A15" s="243"/>
      <c r="B15" s="244"/>
      <c r="C15" s="590" t="s">
        <v>2340</v>
      </c>
      <c r="D15" s="591"/>
      <c r="E15" s="591"/>
      <c r="F15" s="591"/>
      <c r="G15" s="591"/>
      <c r="H15" s="241"/>
      <c r="I15" s="241"/>
      <c r="J15" s="241"/>
      <c r="K15" s="241"/>
      <c r="L15" s="241"/>
      <c r="M15" s="241"/>
      <c r="N15" s="245"/>
      <c r="O15" s="245"/>
      <c r="P15" s="245"/>
      <c r="Q15" s="245"/>
      <c r="R15" s="241"/>
      <c r="S15" s="241"/>
      <c r="T15" s="241"/>
      <c r="U15" s="241"/>
      <c r="V15" s="241"/>
      <c r="W15" s="241"/>
      <c r="X15" s="241"/>
      <c r="Y15" s="242"/>
      <c r="Z15" s="242"/>
      <c r="AA15" s="242"/>
      <c r="AB15" s="242"/>
      <c r="AC15" s="242"/>
      <c r="AD15" s="242"/>
      <c r="AE15" s="242"/>
      <c r="AF15" s="242" t="s">
        <v>2285</v>
      </c>
      <c r="AG15" s="242"/>
      <c r="AH15" s="242"/>
      <c r="AI15" s="242"/>
      <c r="AJ15" s="242"/>
      <c r="AK15" s="242"/>
      <c r="AL15" s="242"/>
      <c r="AM15" s="242"/>
      <c r="AN15" s="242"/>
      <c r="AO15" s="242"/>
      <c r="AP15" s="242"/>
      <c r="AQ15" s="242"/>
      <c r="AR15" s="242"/>
      <c r="AS15" s="242"/>
      <c r="AT15" s="242"/>
      <c r="AU15" s="242"/>
      <c r="AV15" s="242"/>
      <c r="AW15" s="242"/>
      <c r="AX15" s="242"/>
      <c r="AY15" s="242"/>
      <c r="AZ15" s="249" t="str">
        <f>C15</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A15" s="242"/>
      <c r="BB15" s="242"/>
      <c r="BC15" s="242"/>
      <c r="BD15" s="242"/>
      <c r="BE15" s="242"/>
      <c r="BF15" s="242"/>
      <c r="BG15" s="242"/>
    </row>
    <row r="16" spans="1:59" ht="15" outlineLevel="1">
      <c r="A16" s="234">
        <v>4</v>
      </c>
      <c r="B16" s="235" t="s">
        <v>2341</v>
      </c>
      <c r="C16" s="236" t="s">
        <v>2342</v>
      </c>
      <c r="D16" s="237" t="s">
        <v>2331</v>
      </c>
      <c r="E16" s="238">
        <v>1</v>
      </c>
      <c r="F16" s="239"/>
      <c r="G16" s="240">
        <f>ROUND(E16*F16,2)</f>
        <v>0</v>
      </c>
      <c r="H16" s="239">
        <v>0</v>
      </c>
      <c r="I16" s="240">
        <f>ROUND(E16*H16,2)</f>
        <v>0</v>
      </c>
      <c r="J16" s="239">
        <v>11150.69</v>
      </c>
      <c r="K16" s="240">
        <f>ROUND(E16*J16,2)</f>
        <v>11150.69</v>
      </c>
      <c r="L16" s="240">
        <v>21</v>
      </c>
      <c r="M16" s="240">
        <f>G16*(1+L16/100)</f>
        <v>0</v>
      </c>
      <c r="N16" s="238">
        <v>0</v>
      </c>
      <c r="O16" s="238">
        <f>ROUND(E16*N16,2)</f>
        <v>0</v>
      </c>
      <c r="P16" s="238">
        <v>0</v>
      </c>
      <c r="Q16" s="238">
        <f>ROUND(E16*P16,2)</f>
        <v>0</v>
      </c>
      <c r="R16" s="240"/>
      <c r="S16" s="240" t="s">
        <v>2177</v>
      </c>
      <c r="T16" s="241">
        <v>0</v>
      </c>
      <c r="U16" s="241">
        <f>ROUND(E16*T16,2)</f>
        <v>0</v>
      </c>
      <c r="V16" s="241"/>
      <c r="W16" s="241" t="s">
        <v>1170</v>
      </c>
      <c r="X16" s="241" t="s">
        <v>2179</v>
      </c>
      <c r="Y16" s="242"/>
      <c r="Z16" s="242"/>
      <c r="AA16" s="242"/>
      <c r="AB16" s="242"/>
      <c r="AC16" s="242"/>
      <c r="AD16" s="242"/>
      <c r="AE16" s="242"/>
      <c r="AF16" s="242" t="s">
        <v>2332</v>
      </c>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row>
    <row r="17" spans="1:59" ht="31.2" outlineLevel="2">
      <c r="A17" s="243"/>
      <c r="B17" s="244"/>
      <c r="C17" s="590" t="s">
        <v>2343</v>
      </c>
      <c r="D17" s="591"/>
      <c r="E17" s="591"/>
      <c r="F17" s="591"/>
      <c r="G17" s="591"/>
      <c r="H17" s="241"/>
      <c r="I17" s="241"/>
      <c r="J17" s="241"/>
      <c r="K17" s="241"/>
      <c r="L17" s="241"/>
      <c r="M17" s="241"/>
      <c r="N17" s="245"/>
      <c r="O17" s="245"/>
      <c r="P17" s="245"/>
      <c r="Q17" s="245"/>
      <c r="R17" s="241"/>
      <c r="S17" s="241"/>
      <c r="T17" s="241"/>
      <c r="U17" s="241"/>
      <c r="V17" s="241"/>
      <c r="W17" s="241"/>
      <c r="X17" s="241"/>
      <c r="Y17" s="242"/>
      <c r="Z17" s="242"/>
      <c r="AA17" s="242"/>
      <c r="AB17" s="242"/>
      <c r="AC17" s="242"/>
      <c r="AD17" s="242"/>
      <c r="AE17" s="242"/>
      <c r="AF17" s="242" t="s">
        <v>2285</v>
      </c>
      <c r="AG17" s="242"/>
      <c r="AH17" s="242"/>
      <c r="AI17" s="242"/>
      <c r="AJ17" s="242"/>
      <c r="AK17" s="242"/>
      <c r="AL17" s="242"/>
      <c r="AM17" s="242"/>
      <c r="AN17" s="242"/>
      <c r="AO17" s="242"/>
      <c r="AP17" s="242"/>
      <c r="AQ17" s="242"/>
      <c r="AR17" s="242"/>
      <c r="AS17" s="242"/>
      <c r="AT17" s="242"/>
      <c r="AU17" s="242"/>
      <c r="AV17" s="242"/>
      <c r="AW17" s="242"/>
      <c r="AX17" s="242"/>
      <c r="AY17" s="242"/>
      <c r="AZ17" s="249" t="str">
        <f>C17</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A17" s="242"/>
      <c r="BB17" s="242"/>
      <c r="BC17" s="242"/>
      <c r="BD17" s="242"/>
      <c r="BE17" s="242"/>
      <c r="BF17" s="242"/>
      <c r="BG17" s="242"/>
    </row>
    <row r="18" spans="1:59" ht="15" outlineLevel="1">
      <c r="A18" s="234">
        <v>5</v>
      </c>
      <c r="B18" s="235" t="s">
        <v>2344</v>
      </c>
      <c r="C18" s="236" t="s">
        <v>2345</v>
      </c>
      <c r="D18" s="237" t="s">
        <v>2331</v>
      </c>
      <c r="E18" s="238">
        <v>1</v>
      </c>
      <c r="F18" s="239"/>
      <c r="G18" s="240">
        <f>ROUND(E18*F18,2)</f>
        <v>0</v>
      </c>
      <c r="H18" s="239">
        <v>0</v>
      </c>
      <c r="I18" s="240">
        <f>ROUND(E18*H18,2)</f>
        <v>0</v>
      </c>
      <c r="J18" s="239">
        <v>5575.35</v>
      </c>
      <c r="K18" s="240">
        <f>ROUND(E18*J18,2)</f>
        <v>5575.35</v>
      </c>
      <c r="L18" s="240">
        <v>21</v>
      </c>
      <c r="M18" s="240">
        <f>G18*(1+L18/100)</f>
        <v>0</v>
      </c>
      <c r="N18" s="238">
        <v>0</v>
      </c>
      <c r="O18" s="238">
        <f>ROUND(E18*N18,2)</f>
        <v>0</v>
      </c>
      <c r="P18" s="238">
        <v>0</v>
      </c>
      <c r="Q18" s="238">
        <f>ROUND(E18*P18,2)</f>
        <v>0</v>
      </c>
      <c r="R18" s="240"/>
      <c r="S18" s="240" t="s">
        <v>2177</v>
      </c>
      <c r="T18" s="241">
        <v>0</v>
      </c>
      <c r="U18" s="241">
        <f>ROUND(E18*T18,2)</f>
        <v>0</v>
      </c>
      <c r="V18" s="241"/>
      <c r="W18" s="241" t="s">
        <v>1170</v>
      </c>
      <c r="X18" s="241" t="s">
        <v>2179</v>
      </c>
      <c r="Y18" s="242"/>
      <c r="Z18" s="242"/>
      <c r="AA18" s="242"/>
      <c r="AB18" s="242"/>
      <c r="AC18" s="242"/>
      <c r="AD18" s="242"/>
      <c r="AE18" s="242"/>
      <c r="AF18" s="242" t="s">
        <v>2332</v>
      </c>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row>
    <row r="19" spans="1:59" ht="21" outlineLevel="2">
      <c r="A19" s="243"/>
      <c r="B19" s="244"/>
      <c r="C19" s="590" t="s">
        <v>2346</v>
      </c>
      <c r="D19" s="591"/>
      <c r="E19" s="591"/>
      <c r="F19" s="591"/>
      <c r="G19" s="591"/>
      <c r="H19" s="241"/>
      <c r="I19" s="241"/>
      <c r="J19" s="241"/>
      <c r="K19" s="241"/>
      <c r="L19" s="241"/>
      <c r="M19" s="241"/>
      <c r="N19" s="245"/>
      <c r="O19" s="245"/>
      <c r="P19" s="245"/>
      <c r="Q19" s="245"/>
      <c r="R19" s="241"/>
      <c r="S19" s="241"/>
      <c r="T19" s="241"/>
      <c r="U19" s="241"/>
      <c r="V19" s="241"/>
      <c r="W19" s="241"/>
      <c r="X19" s="241"/>
      <c r="Y19" s="242"/>
      <c r="Z19" s="242"/>
      <c r="AA19" s="242"/>
      <c r="AB19" s="242"/>
      <c r="AC19" s="242"/>
      <c r="AD19" s="242"/>
      <c r="AE19" s="242"/>
      <c r="AF19" s="242" t="s">
        <v>2285</v>
      </c>
      <c r="AG19" s="242"/>
      <c r="AH19" s="242"/>
      <c r="AI19" s="242"/>
      <c r="AJ19" s="242"/>
      <c r="AK19" s="242"/>
      <c r="AL19" s="242"/>
      <c r="AM19" s="242"/>
      <c r="AN19" s="242"/>
      <c r="AO19" s="242"/>
      <c r="AP19" s="242"/>
      <c r="AQ19" s="242"/>
      <c r="AR19" s="242"/>
      <c r="AS19" s="242"/>
      <c r="AT19" s="242"/>
      <c r="AU19" s="242"/>
      <c r="AV19" s="242"/>
      <c r="AW19" s="242"/>
      <c r="AX19" s="242"/>
      <c r="AY19" s="242"/>
      <c r="AZ19" s="249" t="str">
        <f>C19</f>
        <v>Odstranění objektů zařízení staveniště včetně přípojek energií a jejich odvoz. Položka zahrnuje i náklady na úpravu povrchů po odstranění zařízení staveniště a úklid ploch, na kterých bylo zařízení staveniště provozováno.</v>
      </c>
      <c r="BA19" s="242"/>
      <c r="BB19" s="242"/>
      <c r="BC19" s="242"/>
      <c r="BD19" s="242"/>
      <c r="BE19" s="242"/>
      <c r="BF19" s="242"/>
      <c r="BG19" s="242"/>
    </row>
    <row r="20" spans="1:59" ht="15" outlineLevel="1">
      <c r="A20" s="234">
        <v>6</v>
      </c>
      <c r="B20" s="235" t="s">
        <v>2347</v>
      </c>
      <c r="C20" s="236" t="s">
        <v>2348</v>
      </c>
      <c r="D20" s="237" t="s">
        <v>2331</v>
      </c>
      <c r="E20" s="238">
        <v>1</v>
      </c>
      <c r="F20" s="239"/>
      <c r="G20" s="240">
        <f>ROUND(E20*F20,2)</f>
        <v>0</v>
      </c>
      <c r="H20" s="239">
        <v>0</v>
      </c>
      <c r="I20" s="240">
        <f>ROUND(E20*H20,2)</f>
        <v>0</v>
      </c>
      <c r="J20" s="239">
        <v>15016.35</v>
      </c>
      <c r="K20" s="240">
        <f>ROUND(E20*J20,2)</f>
        <v>15016.35</v>
      </c>
      <c r="L20" s="240">
        <v>21</v>
      </c>
      <c r="M20" s="240">
        <f>G20*(1+L20/100)</f>
        <v>0</v>
      </c>
      <c r="N20" s="238">
        <v>0</v>
      </c>
      <c r="O20" s="238">
        <f>ROUND(E20*N20,2)</f>
        <v>0</v>
      </c>
      <c r="P20" s="238">
        <v>0</v>
      </c>
      <c r="Q20" s="238">
        <f>ROUND(E20*P20,2)</f>
        <v>0</v>
      </c>
      <c r="R20" s="240"/>
      <c r="S20" s="240" t="s">
        <v>2177</v>
      </c>
      <c r="T20" s="241">
        <v>0</v>
      </c>
      <c r="U20" s="241">
        <f>ROUND(E20*T20,2)</f>
        <v>0</v>
      </c>
      <c r="V20" s="241"/>
      <c r="W20" s="241" t="s">
        <v>1170</v>
      </c>
      <c r="X20" s="241" t="s">
        <v>2179</v>
      </c>
      <c r="Y20" s="242"/>
      <c r="Z20" s="242"/>
      <c r="AA20" s="242"/>
      <c r="AB20" s="242"/>
      <c r="AC20" s="242"/>
      <c r="AD20" s="242"/>
      <c r="AE20" s="242"/>
      <c r="AF20" s="242" t="s">
        <v>2349</v>
      </c>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row>
    <row r="21" spans="1:59" ht="21" outlineLevel="2">
      <c r="A21" s="243"/>
      <c r="B21" s="244"/>
      <c r="C21" s="590" t="s">
        <v>2350</v>
      </c>
      <c r="D21" s="591"/>
      <c r="E21" s="591"/>
      <c r="F21" s="591"/>
      <c r="G21" s="591"/>
      <c r="H21" s="241"/>
      <c r="I21" s="241"/>
      <c r="J21" s="241"/>
      <c r="K21" s="241"/>
      <c r="L21" s="241"/>
      <c r="M21" s="241"/>
      <c r="N21" s="245"/>
      <c r="O21" s="245"/>
      <c r="P21" s="245"/>
      <c r="Q21" s="245"/>
      <c r="R21" s="241"/>
      <c r="S21" s="241"/>
      <c r="T21" s="241"/>
      <c r="U21" s="241"/>
      <c r="V21" s="241"/>
      <c r="W21" s="241"/>
      <c r="X21" s="241"/>
      <c r="Y21" s="242"/>
      <c r="Z21" s="242"/>
      <c r="AA21" s="242"/>
      <c r="AB21" s="242"/>
      <c r="AC21" s="242"/>
      <c r="AD21" s="242"/>
      <c r="AE21" s="242"/>
      <c r="AF21" s="242" t="s">
        <v>2285</v>
      </c>
      <c r="AG21" s="242"/>
      <c r="AH21" s="242"/>
      <c r="AI21" s="242"/>
      <c r="AJ21" s="242"/>
      <c r="AK21" s="242"/>
      <c r="AL21" s="242"/>
      <c r="AM21" s="242"/>
      <c r="AN21" s="242"/>
      <c r="AO21" s="242"/>
      <c r="AP21" s="242"/>
      <c r="AQ21" s="242"/>
      <c r="AR21" s="242"/>
      <c r="AS21" s="242"/>
      <c r="AT21" s="242"/>
      <c r="AU21" s="242"/>
      <c r="AV21" s="242"/>
      <c r="AW21" s="242"/>
      <c r="AX21" s="242"/>
      <c r="AY21" s="242"/>
      <c r="AZ21" s="249" t="str">
        <f>C21</f>
        <v>Náklady na ztížené provádění stavebních prací v důsledku nepřerušeného provozu na staveništi nebo v případech nepřerušeného provozu v objektech v nichž se stavební práce provádí.</v>
      </c>
      <c r="BA21" s="242"/>
      <c r="BB21" s="242"/>
      <c r="BC21" s="242"/>
      <c r="BD21" s="242"/>
      <c r="BE21" s="242"/>
      <c r="BF21" s="242"/>
      <c r="BG21" s="242"/>
    </row>
    <row r="22" spans="1:59" ht="15" outlineLevel="1">
      <c r="A22" s="234">
        <v>7</v>
      </c>
      <c r="B22" s="235" t="s">
        <v>2351</v>
      </c>
      <c r="C22" s="236" t="s">
        <v>2352</v>
      </c>
      <c r="D22" s="237" t="s">
        <v>2331</v>
      </c>
      <c r="E22" s="238">
        <v>1</v>
      </c>
      <c r="F22" s="239"/>
      <c r="G22" s="240">
        <f>ROUND(E22*F22,2)</f>
        <v>0</v>
      </c>
      <c r="H22" s="239">
        <v>0</v>
      </c>
      <c r="I22" s="240">
        <f>ROUND(E22*H22,2)</f>
        <v>0</v>
      </c>
      <c r="J22" s="239">
        <v>22524.53</v>
      </c>
      <c r="K22" s="240">
        <f>ROUND(E22*J22,2)</f>
        <v>22524.53</v>
      </c>
      <c r="L22" s="240">
        <v>21</v>
      </c>
      <c r="M22" s="240">
        <f>G22*(1+L22/100)</f>
        <v>0</v>
      </c>
      <c r="N22" s="238">
        <v>0</v>
      </c>
      <c r="O22" s="238">
        <f>ROUND(E22*N22,2)</f>
        <v>0</v>
      </c>
      <c r="P22" s="238">
        <v>0</v>
      </c>
      <c r="Q22" s="238">
        <f>ROUND(E22*P22,2)</f>
        <v>0</v>
      </c>
      <c r="R22" s="240"/>
      <c r="S22" s="240" t="s">
        <v>2177</v>
      </c>
      <c r="T22" s="241">
        <v>0</v>
      </c>
      <c r="U22" s="241">
        <f>ROUND(E22*T22,2)</f>
        <v>0</v>
      </c>
      <c r="V22" s="241"/>
      <c r="W22" s="241" t="s">
        <v>1170</v>
      </c>
      <c r="X22" s="241" t="s">
        <v>2179</v>
      </c>
      <c r="Y22" s="242"/>
      <c r="Z22" s="242"/>
      <c r="AA22" s="242"/>
      <c r="AB22" s="242"/>
      <c r="AC22" s="242"/>
      <c r="AD22" s="242"/>
      <c r="AE22" s="242"/>
      <c r="AF22" s="242" t="s">
        <v>2353</v>
      </c>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row>
    <row r="23" spans="1:59" ht="15" outlineLevel="2">
      <c r="A23" s="243"/>
      <c r="B23" s="244"/>
      <c r="C23" s="590" t="s">
        <v>2354</v>
      </c>
      <c r="D23" s="591"/>
      <c r="E23" s="591"/>
      <c r="F23" s="591"/>
      <c r="G23" s="591"/>
      <c r="H23" s="241"/>
      <c r="I23" s="241"/>
      <c r="J23" s="241"/>
      <c r="K23" s="241"/>
      <c r="L23" s="241"/>
      <c r="M23" s="241"/>
      <c r="N23" s="245"/>
      <c r="O23" s="245"/>
      <c r="P23" s="245"/>
      <c r="Q23" s="245"/>
      <c r="R23" s="241"/>
      <c r="S23" s="241"/>
      <c r="T23" s="241"/>
      <c r="U23" s="241"/>
      <c r="V23" s="241"/>
      <c r="W23" s="241"/>
      <c r="X23" s="241"/>
      <c r="Y23" s="242"/>
      <c r="Z23" s="242"/>
      <c r="AA23" s="242"/>
      <c r="AB23" s="242"/>
      <c r="AC23" s="242"/>
      <c r="AD23" s="242"/>
      <c r="AE23" s="242"/>
      <c r="AF23" s="242" t="s">
        <v>2285</v>
      </c>
      <c r="AG23" s="242"/>
      <c r="AH23" s="242"/>
      <c r="AI23" s="242"/>
      <c r="AJ23" s="242"/>
      <c r="AK23" s="242"/>
      <c r="AL23" s="242"/>
      <c r="AM23" s="242"/>
      <c r="AN23" s="242"/>
      <c r="AO23" s="242"/>
      <c r="AP23" s="242"/>
      <c r="AQ23" s="242"/>
      <c r="AR23" s="242"/>
      <c r="AS23" s="242"/>
      <c r="AT23" s="242"/>
      <c r="AU23" s="242"/>
      <c r="AV23" s="242"/>
      <c r="AW23" s="242"/>
      <c r="AX23" s="242"/>
      <c r="AY23" s="242"/>
      <c r="AZ23" s="249" t="str">
        <f>C23</f>
        <v>Náklady na ztížené provádění stavebních prací v důsledku nepřerušeného dopravního provozu na staveništi nebo v jeho bezprostředním okolí.</v>
      </c>
      <c r="BA23" s="242"/>
      <c r="BB23" s="242"/>
      <c r="BC23" s="242"/>
      <c r="BD23" s="242"/>
      <c r="BE23" s="242"/>
      <c r="BF23" s="242"/>
      <c r="BG23" s="242"/>
    </row>
    <row r="24" spans="1:59" ht="15" outlineLevel="1">
      <c r="A24" s="234">
        <v>8</v>
      </c>
      <c r="B24" s="235" t="s">
        <v>2355</v>
      </c>
      <c r="C24" s="236" t="s">
        <v>2356</v>
      </c>
      <c r="D24" s="237" t="s">
        <v>2331</v>
      </c>
      <c r="E24" s="238">
        <v>1</v>
      </c>
      <c r="F24" s="239"/>
      <c r="G24" s="240">
        <f>ROUND(E24*F24,2)</f>
        <v>0</v>
      </c>
      <c r="H24" s="239">
        <v>0</v>
      </c>
      <c r="I24" s="240">
        <f>ROUND(E24*H24,2)</f>
        <v>0</v>
      </c>
      <c r="J24" s="239">
        <v>27876.73</v>
      </c>
      <c r="K24" s="240">
        <f>ROUND(E24*J24,2)</f>
        <v>27876.73</v>
      </c>
      <c r="L24" s="240">
        <v>21</v>
      </c>
      <c r="M24" s="240">
        <f>G24*(1+L24/100)</f>
        <v>0</v>
      </c>
      <c r="N24" s="238">
        <v>0</v>
      </c>
      <c r="O24" s="238">
        <f>ROUND(E24*N24,2)</f>
        <v>0</v>
      </c>
      <c r="P24" s="238">
        <v>0</v>
      </c>
      <c r="Q24" s="238">
        <f>ROUND(E24*P24,2)</f>
        <v>0</v>
      </c>
      <c r="R24" s="240"/>
      <c r="S24" s="240" t="s">
        <v>2177</v>
      </c>
      <c r="T24" s="241">
        <v>0</v>
      </c>
      <c r="U24" s="241">
        <f>ROUND(E24*T24,2)</f>
        <v>0</v>
      </c>
      <c r="V24" s="241"/>
      <c r="W24" s="241" t="s">
        <v>1170</v>
      </c>
      <c r="X24" s="241" t="s">
        <v>2179</v>
      </c>
      <c r="Y24" s="242"/>
      <c r="Z24" s="242"/>
      <c r="AA24" s="242"/>
      <c r="AB24" s="242"/>
      <c r="AC24" s="242"/>
      <c r="AD24" s="242"/>
      <c r="AE24" s="242"/>
      <c r="AF24" s="242" t="s">
        <v>2332</v>
      </c>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row>
    <row r="25" spans="1:59" ht="15" outlineLevel="2">
      <c r="A25" s="243"/>
      <c r="B25" s="244"/>
      <c r="C25" s="590" t="s">
        <v>2357</v>
      </c>
      <c r="D25" s="591"/>
      <c r="E25" s="591"/>
      <c r="F25" s="591"/>
      <c r="G25" s="591"/>
      <c r="H25" s="241"/>
      <c r="I25" s="241"/>
      <c r="J25" s="241"/>
      <c r="K25" s="241"/>
      <c r="L25" s="241"/>
      <c r="M25" s="241"/>
      <c r="N25" s="245"/>
      <c r="O25" s="245"/>
      <c r="P25" s="245"/>
      <c r="Q25" s="245"/>
      <c r="R25" s="241"/>
      <c r="S25" s="241"/>
      <c r="T25" s="241"/>
      <c r="U25" s="241"/>
      <c r="V25" s="241"/>
      <c r="W25" s="241"/>
      <c r="X25" s="241"/>
      <c r="Y25" s="242"/>
      <c r="Z25" s="242"/>
      <c r="AA25" s="242"/>
      <c r="AB25" s="242"/>
      <c r="AC25" s="242"/>
      <c r="AD25" s="242"/>
      <c r="AE25" s="242"/>
      <c r="AF25" s="242" t="s">
        <v>2285</v>
      </c>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row>
    <row r="26" spans="1:32" ht="15">
      <c r="A26" s="227" t="s">
        <v>2173</v>
      </c>
      <c r="B26" s="228" t="s">
        <v>2358</v>
      </c>
      <c r="C26" s="229" t="s">
        <v>2359</v>
      </c>
      <c r="D26" s="230"/>
      <c r="E26" s="231"/>
      <c r="F26" s="232"/>
      <c r="G26" s="232">
        <f>SUMIF(AF27:AF46,"&lt;&gt;NOR",G27:G46)</f>
        <v>0</v>
      </c>
      <c r="H26" s="232"/>
      <c r="I26" s="232">
        <f>SUM(I27:I46)</f>
        <v>0</v>
      </c>
      <c r="J26" s="232"/>
      <c r="K26" s="232">
        <f>SUM(K27:K46)</f>
        <v>6969.18</v>
      </c>
      <c r="L26" s="232"/>
      <c r="M26" s="232">
        <f>SUM(M27:M46)</f>
        <v>0</v>
      </c>
      <c r="N26" s="231"/>
      <c r="O26" s="231">
        <f>SUM(O27:O46)</f>
        <v>0</v>
      </c>
      <c r="P26" s="231"/>
      <c r="Q26" s="231">
        <f>SUM(Q27:Q46)</f>
        <v>0</v>
      </c>
      <c r="R26" s="232"/>
      <c r="S26" s="232"/>
      <c r="T26" s="233"/>
      <c r="U26" s="233">
        <f>SUM(U27:U46)</f>
        <v>0</v>
      </c>
      <c r="V26" s="233"/>
      <c r="W26" s="233"/>
      <c r="X26" s="233"/>
      <c r="AF26" s="210" t="s">
        <v>2174</v>
      </c>
    </row>
    <row r="27" spans="1:59" ht="15" outlineLevel="1">
      <c r="A27" s="234">
        <v>9</v>
      </c>
      <c r="B27" s="235" t="s">
        <v>2360</v>
      </c>
      <c r="C27" s="236" t="s">
        <v>2361</v>
      </c>
      <c r="D27" s="237" t="s">
        <v>2331</v>
      </c>
      <c r="E27" s="238">
        <v>1</v>
      </c>
      <c r="F27" s="239"/>
      <c r="G27" s="240">
        <f>ROUND(E27*F27,2)</f>
        <v>0</v>
      </c>
      <c r="H27" s="239">
        <v>0</v>
      </c>
      <c r="I27" s="240">
        <f>ROUND(E27*H27,2)</f>
        <v>0</v>
      </c>
      <c r="J27" s="239">
        <v>6969.18</v>
      </c>
      <c r="K27" s="240">
        <f>ROUND(E27*J27,2)</f>
        <v>6969.18</v>
      </c>
      <c r="L27" s="240">
        <v>21</v>
      </c>
      <c r="M27" s="240">
        <f>G27*(1+L27/100)</f>
        <v>0</v>
      </c>
      <c r="N27" s="238">
        <v>0</v>
      </c>
      <c r="O27" s="238">
        <f>ROUND(E27*N27,2)</f>
        <v>0</v>
      </c>
      <c r="P27" s="238">
        <v>0</v>
      </c>
      <c r="Q27" s="238">
        <f>ROUND(E27*P27,2)</f>
        <v>0</v>
      </c>
      <c r="R27" s="240"/>
      <c r="S27" s="240" t="s">
        <v>2177</v>
      </c>
      <c r="T27" s="241">
        <v>0</v>
      </c>
      <c r="U27" s="241">
        <f>ROUND(E27*T27,2)</f>
        <v>0</v>
      </c>
      <c r="V27" s="241"/>
      <c r="W27" s="241" t="s">
        <v>1170</v>
      </c>
      <c r="X27" s="241" t="s">
        <v>2179</v>
      </c>
      <c r="Y27" s="242"/>
      <c r="Z27" s="242"/>
      <c r="AA27" s="242"/>
      <c r="AB27" s="242"/>
      <c r="AC27" s="242"/>
      <c r="AD27" s="242"/>
      <c r="AE27" s="242"/>
      <c r="AF27" s="242" t="s">
        <v>2332</v>
      </c>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row>
    <row r="28" spans="1:59" ht="41.4" outlineLevel="2">
      <c r="A28" s="243"/>
      <c r="B28" s="244"/>
      <c r="C28" s="590" t="s">
        <v>2362</v>
      </c>
      <c r="D28" s="591"/>
      <c r="E28" s="591"/>
      <c r="F28" s="591"/>
      <c r="G28" s="591"/>
      <c r="H28" s="241"/>
      <c r="I28" s="241"/>
      <c r="J28" s="241"/>
      <c r="K28" s="241"/>
      <c r="L28" s="241"/>
      <c r="M28" s="241"/>
      <c r="N28" s="245"/>
      <c r="O28" s="245"/>
      <c r="P28" s="245"/>
      <c r="Q28" s="245"/>
      <c r="R28" s="241"/>
      <c r="S28" s="241"/>
      <c r="T28" s="241"/>
      <c r="U28" s="241"/>
      <c r="V28" s="241"/>
      <c r="W28" s="241"/>
      <c r="X28" s="241"/>
      <c r="Y28" s="242"/>
      <c r="Z28" s="242"/>
      <c r="AA28" s="242"/>
      <c r="AB28" s="242"/>
      <c r="AC28" s="242"/>
      <c r="AD28" s="242"/>
      <c r="AE28" s="242"/>
      <c r="AF28" s="242" t="s">
        <v>2285</v>
      </c>
      <c r="AG28" s="242"/>
      <c r="AH28" s="242"/>
      <c r="AI28" s="242"/>
      <c r="AJ28" s="242"/>
      <c r="AK28" s="242"/>
      <c r="AL28" s="242"/>
      <c r="AM28" s="242"/>
      <c r="AN28" s="242"/>
      <c r="AO28" s="242"/>
      <c r="AP28" s="242"/>
      <c r="AQ28" s="242"/>
      <c r="AR28" s="242"/>
      <c r="AS28" s="242"/>
      <c r="AT28" s="242"/>
      <c r="AU28" s="242"/>
      <c r="AV28" s="242"/>
      <c r="AW28" s="242"/>
      <c r="AX28" s="242"/>
      <c r="AY28" s="242"/>
      <c r="AZ28" s="249" t="str">
        <f>C28</f>
        <v>Náklady na provedení průzkumů nebo doplnění stávajících průzkumů, pokud je obchodní podmínky vyžadují a tyto průzkumy nejsou v dostatečném rozsahu součástí projektové dokumentace. Jedná se zejména o Geologický – inženýrsko-geologický / radonový / hydrogeologický / pedologický průzkum, botanický a zoologický průzkum, stavební průzkum – umělecko historický / stavebně statický a případný průzkum výskytu nebezpečných látek – odpadu / munice / výbušnin apod.</v>
      </c>
      <c r="BA28" s="242"/>
      <c r="BB28" s="242"/>
      <c r="BC28" s="242"/>
      <c r="BD28" s="242"/>
      <c r="BE28" s="242"/>
      <c r="BF28" s="242"/>
      <c r="BG28" s="242"/>
    </row>
    <row r="29" spans="1:59" ht="15" outlineLevel="1">
      <c r="A29" s="234">
        <v>10</v>
      </c>
      <c r="B29" s="235" t="s">
        <v>2363</v>
      </c>
      <c r="C29" s="236" t="s">
        <v>2364</v>
      </c>
      <c r="D29" s="237" t="s">
        <v>2331</v>
      </c>
      <c r="E29" s="238">
        <v>1</v>
      </c>
      <c r="F29" s="239"/>
      <c r="G29" s="240">
        <f>ROUND(E29*F29,2)</f>
        <v>0</v>
      </c>
      <c r="H29" s="239">
        <v>0</v>
      </c>
      <c r="I29" s="240">
        <f>ROUND(E29*H29,2)</f>
        <v>0</v>
      </c>
      <c r="J29" s="239">
        <v>0</v>
      </c>
      <c r="K29" s="240">
        <f>ROUND(E29*J29,2)</f>
        <v>0</v>
      </c>
      <c r="L29" s="240">
        <v>21</v>
      </c>
      <c r="M29" s="240">
        <f>G29*(1+L29/100)</f>
        <v>0</v>
      </c>
      <c r="N29" s="238">
        <v>0</v>
      </c>
      <c r="O29" s="238">
        <f>ROUND(E29*N29,2)</f>
        <v>0</v>
      </c>
      <c r="P29" s="238">
        <v>0</v>
      </c>
      <c r="Q29" s="238">
        <f>ROUND(E29*P29,2)</f>
        <v>0</v>
      </c>
      <c r="R29" s="240"/>
      <c r="S29" s="240" t="s">
        <v>2177</v>
      </c>
      <c r="T29" s="241">
        <v>0</v>
      </c>
      <c r="U29" s="241">
        <f>ROUND(E29*T29,2)</f>
        <v>0</v>
      </c>
      <c r="V29" s="241"/>
      <c r="W29" s="241" t="s">
        <v>1170</v>
      </c>
      <c r="X29" s="241" t="s">
        <v>2179</v>
      </c>
      <c r="Y29" s="242"/>
      <c r="Z29" s="242"/>
      <c r="AA29" s="242"/>
      <c r="AB29" s="242"/>
      <c r="AC29" s="242"/>
      <c r="AD29" s="242"/>
      <c r="AE29" s="242"/>
      <c r="AF29" s="242" t="s">
        <v>2332</v>
      </c>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row>
    <row r="30" spans="1:59" ht="15" outlineLevel="2">
      <c r="A30" s="243"/>
      <c r="B30" s="244"/>
      <c r="C30" s="590" t="s">
        <v>2365</v>
      </c>
      <c r="D30" s="591"/>
      <c r="E30" s="591"/>
      <c r="F30" s="591"/>
      <c r="G30" s="591"/>
      <c r="H30" s="241"/>
      <c r="I30" s="241"/>
      <c r="J30" s="241"/>
      <c r="K30" s="241"/>
      <c r="L30" s="241"/>
      <c r="M30" s="241"/>
      <c r="N30" s="245"/>
      <c r="O30" s="245"/>
      <c r="P30" s="245"/>
      <c r="Q30" s="245"/>
      <c r="R30" s="241"/>
      <c r="S30" s="241"/>
      <c r="T30" s="241"/>
      <c r="U30" s="241"/>
      <c r="V30" s="241"/>
      <c r="W30" s="241"/>
      <c r="X30" s="241"/>
      <c r="Y30" s="242"/>
      <c r="Z30" s="242"/>
      <c r="AA30" s="242"/>
      <c r="AB30" s="242"/>
      <c r="AC30" s="242"/>
      <c r="AD30" s="242"/>
      <c r="AE30" s="242"/>
      <c r="AF30" s="242" t="s">
        <v>2285</v>
      </c>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row>
    <row r="31" spans="1:59" ht="15" outlineLevel="1">
      <c r="A31" s="234">
        <v>11</v>
      </c>
      <c r="B31" s="235" t="s">
        <v>2366</v>
      </c>
      <c r="C31" s="236" t="s">
        <v>2367</v>
      </c>
      <c r="D31" s="237" t="s">
        <v>2331</v>
      </c>
      <c r="E31" s="238">
        <v>1</v>
      </c>
      <c r="F31" s="239"/>
      <c r="G31" s="240">
        <f>ROUND(E31*F31,2)</f>
        <v>0</v>
      </c>
      <c r="H31" s="239">
        <v>0</v>
      </c>
      <c r="I31" s="240">
        <f>ROUND(E31*H31,2)</f>
        <v>0</v>
      </c>
      <c r="J31" s="239">
        <v>0</v>
      </c>
      <c r="K31" s="240">
        <f>ROUND(E31*J31,2)</f>
        <v>0</v>
      </c>
      <c r="L31" s="240">
        <v>21</v>
      </c>
      <c r="M31" s="240">
        <f>G31*(1+L31/100)</f>
        <v>0</v>
      </c>
      <c r="N31" s="238">
        <v>0</v>
      </c>
      <c r="O31" s="238">
        <f>ROUND(E31*N31,2)</f>
        <v>0</v>
      </c>
      <c r="P31" s="238">
        <v>0</v>
      </c>
      <c r="Q31" s="238">
        <f>ROUND(E31*P31,2)</f>
        <v>0</v>
      </c>
      <c r="R31" s="240"/>
      <c r="S31" s="240" t="s">
        <v>2177</v>
      </c>
      <c r="T31" s="241">
        <v>0</v>
      </c>
      <c r="U31" s="241">
        <f>ROUND(E31*T31,2)</f>
        <v>0</v>
      </c>
      <c r="V31" s="241"/>
      <c r="W31" s="241" t="s">
        <v>1170</v>
      </c>
      <c r="X31" s="241" t="s">
        <v>2179</v>
      </c>
      <c r="Y31" s="242"/>
      <c r="Z31" s="242"/>
      <c r="AA31" s="242"/>
      <c r="AB31" s="242"/>
      <c r="AC31" s="242"/>
      <c r="AD31" s="242"/>
      <c r="AE31" s="242"/>
      <c r="AF31" s="242" t="s">
        <v>2332</v>
      </c>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row>
    <row r="32" spans="1:59" ht="21" outlineLevel="2">
      <c r="A32" s="243"/>
      <c r="B32" s="244"/>
      <c r="C32" s="590" t="s">
        <v>2368</v>
      </c>
      <c r="D32" s="591"/>
      <c r="E32" s="591"/>
      <c r="F32" s="591"/>
      <c r="G32" s="591"/>
      <c r="H32" s="241"/>
      <c r="I32" s="241"/>
      <c r="J32" s="241"/>
      <c r="K32" s="241"/>
      <c r="L32" s="241"/>
      <c r="M32" s="241"/>
      <c r="N32" s="245"/>
      <c r="O32" s="245"/>
      <c r="P32" s="245"/>
      <c r="Q32" s="245"/>
      <c r="R32" s="241"/>
      <c r="S32" s="241"/>
      <c r="T32" s="241"/>
      <c r="U32" s="241"/>
      <c r="V32" s="241"/>
      <c r="W32" s="241"/>
      <c r="X32" s="241"/>
      <c r="Y32" s="242"/>
      <c r="Z32" s="242"/>
      <c r="AA32" s="242"/>
      <c r="AB32" s="242"/>
      <c r="AC32" s="242"/>
      <c r="AD32" s="242"/>
      <c r="AE32" s="242"/>
      <c r="AF32" s="242" t="s">
        <v>2285</v>
      </c>
      <c r="AG32" s="242"/>
      <c r="AH32" s="242"/>
      <c r="AI32" s="242"/>
      <c r="AJ32" s="242"/>
      <c r="AK32" s="242"/>
      <c r="AL32" s="242"/>
      <c r="AM32" s="242"/>
      <c r="AN32" s="242"/>
      <c r="AO32" s="242"/>
      <c r="AP32" s="242"/>
      <c r="AQ32" s="242"/>
      <c r="AR32" s="242"/>
      <c r="AS32" s="242"/>
      <c r="AT32" s="242"/>
      <c r="AU32" s="242"/>
      <c r="AV32" s="242"/>
      <c r="AW32" s="242"/>
      <c r="AX32" s="242"/>
      <c r="AY32" s="242"/>
      <c r="AZ32" s="249" t="str">
        <f>C32</f>
        <v>Náklady na přezkoumání podkladů objednatele o stavu inženýrských sítí probíhajících staveništěm nebo dotčenými stavbou i mimo území staveniště, kontrola vytýčení jejich skutečné trasy a provedení ochranných opatření pro zabezpečení stávajících inženýrských sítí.</v>
      </c>
      <c r="BA32" s="242"/>
      <c r="BB32" s="242"/>
      <c r="BC32" s="242"/>
      <c r="BD32" s="242"/>
      <c r="BE32" s="242"/>
      <c r="BF32" s="242"/>
      <c r="BG32" s="242"/>
    </row>
    <row r="33" spans="1:59" ht="15" outlineLevel="1">
      <c r="A33" s="234">
        <v>12</v>
      </c>
      <c r="B33" s="235" t="s">
        <v>2369</v>
      </c>
      <c r="C33" s="236" t="s">
        <v>2370</v>
      </c>
      <c r="D33" s="237" t="s">
        <v>2331</v>
      </c>
      <c r="E33" s="238">
        <v>1</v>
      </c>
      <c r="F33" s="239"/>
      <c r="G33" s="240">
        <f>ROUND(E33*F33,2)</f>
        <v>0</v>
      </c>
      <c r="H33" s="239">
        <v>0</v>
      </c>
      <c r="I33" s="240">
        <f>ROUND(E33*H33,2)</f>
        <v>0</v>
      </c>
      <c r="J33" s="239">
        <v>0</v>
      </c>
      <c r="K33" s="240">
        <f>ROUND(E33*J33,2)</f>
        <v>0</v>
      </c>
      <c r="L33" s="240">
        <v>21</v>
      </c>
      <c r="M33" s="240">
        <f>G33*(1+L33/100)</f>
        <v>0</v>
      </c>
      <c r="N33" s="238">
        <v>0</v>
      </c>
      <c r="O33" s="238">
        <f>ROUND(E33*N33,2)</f>
        <v>0</v>
      </c>
      <c r="P33" s="238">
        <v>0</v>
      </c>
      <c r="Q33" s="238">
        <f>ROUND(E33*P33,2)</f>
        <v>0</v>
      </c>
      <c r="R33" s="240"/>
      <c r="S33" s="240" t="s">
        <v>2177</v>
      </c>
      <c r="T33" s="241">
        <v>0</v>
      </c>
      <c r="U33" s="241">
        <f>ROUND(E33*T33,2)</f>
        <v>0</v>
      </c>
      <c r="V33" s="241"/>
      <c r="W33" s="241" t="s">
        <v>1170</v>
      </c>
      <c r="X33" s="241" t="s">
        <v>2179</v>
      </c>
      <c r="Y33" s="242"/>
      <c r="Z33" s="242"/>
      <c r="AA33" s="242"/>
      <c r="AB33" s="242"/>
      <c r="AC33" s="242"/>
      <c r="AD33" s="242"/>
      <c r="AE33" s="242"/>
      <c r="AF33" s="242" t="s">
        <v>2332</v>
      </c>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row>
    <row r="34" spans="1:59" ht="21" outlineLevel="2">
      <c r="A34" s="243"/>
      <c r="B34" s="244"/>
      <c r="C34" s="590" t="s">
        <v>2371</v>
      </c>
      <c r="D34" s="591"/>
      <c r="E34" s="591"/>
      <c r="F34" s="591"/>
      <c r="G34" s="591"/>
      <c r="H34" s="241"/>
      <c r="I34" s="241"/>
      <c r="J34" s="241"/>
      <c r="K34" s="241"/>
      <c r="L34" s="241"/>
      <c r="M34" s="241"/>
      <c r="N34" s="245"/>
      <c r="O34" s="245"/>
      <c r="P34" s="245"/>
      <c r="Q34" s="245"/>
      <c r="R34" s="241"/>
      <c r="S34" s="241"/>
      <c r="T34" s="241"/>
      <c r="U34" s="241"/>
      <c r="V34" s="241"/>
      <c r="W34" s="241"/>
      <c r="X34" s="241"/>
      <c r="Y34" s="242"/>
      <c r="Z34" s="242"/>
      <c r="AA34" s="242"/>
      <c r="AB34" s="242"/>
      <c r="AC34" s="242"/>
      <c r="AD34" s="242"/>
      <c r="AE34" s="242"/>
      <c r="AF34" s="242" t="s">
        <v>2285</v>
      </c>
      <c r="AG34" s="242"/>
      <c r="AH34" s="242"/>
      <c r="AI34" s="242"/>
      <c r="AJ34" s="242"/>
      <c r="AK34" s="242"/>
      <c r="AL34" s="242"/>
      <c r="AM34" s="242"/>
      <c r="AN34" s="242"/>
      <c r="AO34" s="242"/>
      <c r="AP34" s="242"/>
      <c r="AQ34" s="242"/>
      <c r="AR34" s="242"/>
      <c r="AS34" s="242"/>
      <c r="AT34" s="242"/>
      <c r="AU34" s="242"/>
      <c r="AV34" s="242"/>
      <c r="AW34" s="242"/>
      <c r="AX34" s="242"/>
      <c r="AY34" s="242"/>
      <c r="AZ34" s="249" t="str">
        <f>C34</f>
        <v>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v>
      </c>
      <c r="BA34" s="242"/>
      <c r="BB34" s="242"/>
      <c r="BC34" s="242"/>
      <c r="BD34" s="242"/>
      <c r="BE34" s="242"/>
      <c r="BF34" s="242"/>
      <c r="BG34" s="242"/>
    </row>
    <row r="35" spans="1:59" ht="15" outlineLevel="1">
      <c r="A35" s="234">
        <v>13</v>
      </c>
      <c r="B35" s="235" t="s">
        <v>2372</v>
      </c>
      <c r="C35" s="236" t="s">
        <v>2373</v>
      </c>
      <c r="D35" s="237" t="s">
        <v>2331</v>
      </c>
      <c r="E35" s="238">
        <v>1</v>
      </c>
      <c r="F35" s="239"/>
      <c r="G35" s="240">
        <f>ROUND(E35*F35,2)</f>
        <v>0</v>
      </c>
      <c r="H35" s="239">
        <v>0</v>
      </c>
      <c r="I35" s="240">
        <f>ROUND(E35*H35,2)</f>
        <v>0</v>
      </c>
      <c r="J35" s="239">
        <v>0</v>
      </c>
      <c r="K35" s="240">
        <f>ROUND(E35*J35,2)</f>
        <v>0</v>
      </c>
      <c r="L35" s="240">
        <v>21</v>
      </c>
      <c r="M35" s="240">
        <f>G35*(1+L35/100)</f>
        <v>0</v>
      </c>
      <c r="N35" s="238">
        <v>0</v>
      </c>
      <c r="O35" s="238">
        <f>ROUND(E35*N35,2)</f>
        <v>0</v>
      </c>
      <c r="P35" s="238">
        <v>0</v>
      </c>
      <c r="Q35" s="238">
        <f>ROUND(E35*P35,2)</f>
        <v>0</v>
      </c>
      <c r="R35" s="240"/>
      <c r="S35" s="240" t="s">
        <v>2177</v>
      </c>
      <c r="T35" s="241">
        <v>0</v>
      </c>
      <c r="U35" s="241">
        <f>ROUND(E35*T35,2)</f>
        <v>0</v>
      </c>
      <c r="V35" s="241"/>
      <c r="W35" s="241" t="s">
        <v>1170</v>
      </c>
      <c r="X35" s="241" t="s">
        <v>2179</v>
      </c>
      <c r="Y35" s="242"/>
      <c r="Z35" s="242"/>
      <c r="AA35" s="242"/>
      <c r="AB35" s="242"/>
      <c r="AC35" s="242"/>
      <c r="AD35" s="242"/>
      <c r="AE35" s="242"/>
      <c r="AF35" s="242" t="s">
        <v>2332</v>
      </c>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row>
    <row r="36" spans="1:59" ht="31.2" outlineLevel="2">
      <c r="A36" s="243"/>
      <c r="B36" s="244"/>
      <c r="C36" s="590" t="s">
        <v>2374</v>
      </c>
      <c r="D36" s="591"/>
      <c r="E36" s="591"/>
      <c r="F36" s="591"/>
      <c r="G36" s="591"/>
      <c r="H36" s="241"/>
      <c r="I36" s="241"/>
      <c r="J36" s="241"/>
      <c r="K36" s="241"/>
      <c r="L36" s="241"/>
      <c r="M36" s="241"/>
      <c r="N36" s="245"/>
      <c r="O36" s="245"/>
      <c r="P36" s="245"/>
      <c r="Q36" s="245"/>
      <c r="R36" s="241"/>
      <c r="S36" s="241"/>
      <c r="T36" s="241"/>
      <c r="U36" s="241"/>
      <c r="V36" s="241"/>
      <c r="W36" s="241"/>
      <c r="X36" s="241"/>
      <c r="Y36" s="242"/>
      <c r="Z36" s="242"/>
      <c r="AA36" s="242"/>
      <c r="AB36" s="242"/>
      <c r="AC36" s="242"/>
      <c r="AD36" s="242"/>
      <c r="AE36" s="242"/>
      <c r="AF36" s="242" t="s">
        <v>2285</v>
      </c>
      <c r="AG36" s="242"/>
      <c r="AH36" s="242"/>
      <c r="AI36" s="242"/>
      <c r="AJ36" s="242"/>
      <c r="AK36" s="242"/>
      <c r="AL36" s="242"/>
      <c r="AM36" s="242"/>
      <c r="AN36" s="242"/>
      <c r="AO36" s="242"/>
      <c r="AP36" s="242"/>
      <c r="AQ36" s="242"/>
      <c r="AR36" s="242"/>
      <c r="AS36" s="242"/>
      <c r="AT36" s="242"/>
      <c r="AU36" s="242"/>
      <c r="AV36" s="242"/>
      <c r="AW36" s="242"/>
      <c r="AX36" s="242"/>
      <c r="AY36" s="242"/>
      <c r="AZ36" s="249" t="str">
        <f>C36</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A36" s="242"/>
      <c r="BB36" s="242"/>
      <c r="BC36" s="242"/>
      <c r="BD36" s="242"/>
      <c r="BE36" s="242"/>
      <c r="BF36" s="242"/>
      <c r="BG36" s="242"/>
    </row>
    <row r="37" spans="1:59" ht="15" outlineLevel="1">
      <c r="A37" s="234">
        <v>14</v>
      </c>
      <c r="B37" s="235" t="s">
        <v>2375</v>
      </c>
      <c r="C37" s="236" t="s">
        <v>2376</v>
      </c>
      <c r="D37" s="237" t="s">
        <v>2331</v>
      </c>
      <c r="E37" s="238">
        <v>1</v>
      </c>
      <c r="F37" s="239"/>
      <c r="G37" s="240">
        <f>ROUND(E37*F37,2)</f>
        <v>0</v>
      </c>
      <c r="H37" s="239">
        <v>0</v>
      </c>
      <c r="I37" s="240">
        <f>ROUND(E37*H37,2)</f>
        <v>0</v>
      </c>
      <c r="J37" s="239">
        <v>0</v>
      </c>
      <c r="K37" s="240">
        <f>ROUND(E37*J37,2)</f>
        <v>0</v>
      </c>
      <c r="L37" s="240">
        <v>21</v>
      </c>
      <c r="M37" s="240">
        <f>G37*(1+L37/100)</f>
        <v>0</v>
      </c>
      <c r="N37" s="238">
        <v>0</v>
      </c>
      <c r="O37" s="238">
        <f>ROUND(E37*N37,2)</f>
        <v>0</v>
      </c>
      <c r="P37" s="238">
        <v>0</v>
      </c>
      <c r="Q37" s="238">
        <f>ROUND(E37*P37,2)</f>
        <v>0</v>
      </c>
      <c r="R37" s="240"/>
      <c r="S37" s="240" t="s">
        <v>2177</v>
      </c>
      <c r="T37" s="241">
        <v>0</v>
      </c>
      <c r="U37" s="241">
        <f>ROUND(E37*T37,2)</f>
        <v>0</v>
      </c>
      <c r="V37" s="241"/>
      <c r="W37" s="241" t="s">
        <v>1170</v>
      </c>
      <c r="X37" s="241" t="s">
        <v>2179</v>
      </c>
      <c r="Y37" s="242"/>
      <c r="Z37" s="242"/>
      <c r="AA37" s="242"/>
      <c r="AB37" s="242"/>
      <c r="AC37" s="242"/>
      <c r="AD37" s="242"/>
      <c r="AE37" s="242"/>
      <c r="AF37" s="242" t="s">
        <v>2332</v>
      </c>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row>
    <row r="38" spans="1:59" ht="15" outlineLevel="2">
      <c r="A38" s="243"/>
      <c r="B38" s="244"/>
      <c r="C38" s="590" t="s">
        <v>2377</v>
      </c>
      <c r="D38" s="591"/>
      <c r="E38" s="591"/>
      <c r="F38" s="591"/>
      <c r="G38" s="591"/>
      <c r="H38" s="241"/>
      <c r="I38" s="241"/>
      <c r="J38" s="241"/>
      <c r="K38" s="241"/>
      <c r="L38" s="241"/>
      <c r="M38" s="241"/>
      <c r="N38" s="245"/>
      <c r="O38" s="245"/>
      <c r="P38" s="245"/>
      <c r="Q38" s="245"/>
      <c r="R38" s="241"/>
      <c r="S38" s="241"/>
      <c r="T38" s="241"/>
      <c r="U38" s="241"/>
      <c r="V38" s="241"/>
      <c r="W38" s="241"/>
      <c r="X38" s="241"/>
      <c r="Y38" s="242"/>
      <c r="Z38" s="242"/>
      <c r="AA38" s="242"/>
      <c r="AB38" s="242"/>
      <c r="AC38" s="242"/>
      <c r="AD38" s="242"/>
      <c r="AE38" s="242"/>
      <c r="AF38" s="242" t="s">
        <v>2285</v>
      </c>
      <c r="AG38" s="242"/>
      <c r="AH38" s="242"/>
      <c r="AI38" s="242"/>
      <c r="AJ38" s="242"/>
      <c r="AK38" s="242"/>
      <c r="AL38" s="242"/>
      <c r="AM38" s="242"/>
      <c r="AN38" s="242"/>
      <c r="AO38" s="242"/>
      <c r="AP38" s="242"/>
      <c r="AQ38" s="242"/>
      <c r="AR38" s="242"/>
      <c r="AS38" s="242"/>
      <c r="AT38" s="242"/>
      <c r="AU38" s="242"/>
      <c r="AV38" s="242"/>
      <c r="AW38" s="242"/>
      <c r="AX38" s="242"/>
      <c r="AY38" s="242"/>
      <c r="AZ38" s="249" t="str">
        <f>C38</f>
        <v>náklady spojené s provedením všech technickými normami předepsaných zkoušek a revizí stavebních konstrukcí nebo stavebních prací.</v>
      </c>
      <c r="BA38" s="242"/>
      <c r="BB38" s="242"/>
      <c r="BC38" s="242"/>
      <c r="BD38" s="242"/>
      <c r="BE38" s="242"/>
      <c r="BF38" s="242"/>
      <c r="BG38" s="242"/>
    </row>
    <row r="39" spans="1:59" ht="15" outlineLevel="1">
      <c r="A39" s="234">
        <v>15</v>
      </c>
      <c r="B39" s="235" t="s">
        <v>2378</v>
      </c>
      <c r="C39" s="236" t="s">
        <v>2379</v>
      </c>
      <c r="D39" s="237" t="s">
        <v>2331</v>
      </c>
      <c r="E39" s="238">
        <v>1</v>
      </c>
      <c r="F39" s="239"/>
      <c r="G39" s="240">
        <f>ROUND(E39*F39,2)</f>
        <v>0</v>
      </c>
      <c r="H39" s="239">
        <v>0</v>
      </c>
      <c r="I39" s="240">
        <f>ROUND(E39*H39,2)</f>
        <v>0</v>
      </c>
      <c r="J39" s="239">
        <v>0</v>
      </c>
      <c r="K39" s="240">
        <f>ROUND(E39*J39,2)</f>
        <v>0</v>
      </c>
      <c r="L39" s="240">
        <v>21</v>
      </c>
      <c r="M39" s="240">
        <f>G39*(1+L39/100)</f>
        <v>0</v>
      </c>
      <c r="N39" s="238">
        <v>0</v>
      </c>
      <c r="O39" s="238">
        <f>ROUND(E39*N39,2)</f>
        <v>0</v>
      </c>
      <c r="P39" s="238">
        <v>0</v>
      </c>
      <c r="Q39" s="238">
        <f>ROUND(E39*P39,2)</f>
        <v>0</v>
      </c>
      <c r="R39" s="240"/>
      <c r="S39" s="240" t="s">
        <v>2177</v>
      </c>
      <c r="T39" s="241">
        <v>0</v>
      </c>
      <c r="U39" s="241">
        <f>ROUND(E39*T39,2)</f>
        <v>0</v>
      </c>
      <c r="V39" s="241"/>
      <c r="W39" s="241" t="s">
        <v>1170</v>
      </c>
      <c r="X39" s="241" t="s">
        <v>2179</v>
      </c>
      <c r="Y39" s="242"/>
      <c r="Z39" s="242"/>
      <c r="AA39" s="242"/>
      <c r="AB39" s="242"/>
      <c r="AC39" s="242"/>
      <c r="AD39" s="242"/>
      <c r="AE39" s="242"/>
      <c r="AF39" s="242" t="s">
        <v>2332</v>
      </c>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row>
    <row r="40" spans="1:59" ht="15" outlineLevel="2">
      <c r="A40" s="243"/>
      <c r="B40" s="244"/>
      <c r="C40" s="590" t="s">
        <v>2380</v>
      </c>
      <c r="D40" s="591"/>
      <c r="E40" s="591"/>
      <c r="F40" s="591"/>
      <c r="G40" s="591"/>
      <c r="H40" s="241"/>
      <c r="I40" s="241"/>
      <c r="J40" s="241"/>
      <c r="K40" s="241"/>
      <c r="L40" s="241"/>
      <c r="M40" s="241"/>
      <c r="N40" s="245"/>
      <c r="O40" s="245"/>
      <c r="P40" s="245"/>
      <c r="Q40" s="245"/>
      <c r="R40" s="241"/>
      <c r="S40" s="241"/>
      <c r="T40" s="241"/>
      <c r="U40" s="241"/>
      <c r="V40" s="241"/>
      <c r="W40" s="241"/>
      <c r="X40" s="241"/>
      <c r="Y40" s="242"/>
      <c r="Z40" s="242"/>
      <c r="AA40" s="242"/>
      <c r="AB40" s="242"/>
      <c r="AC40" s="242"/>
      <c r="AD40" s="242"/>
      <c r="AE40" s="242"/>
      <c r="AF40" s="242" t="s">
        <v>2285</v>
      </c>
      <c r="AG40" s="242"/>
      <c r="AH40" s="242"/>
      <c r="AI40" s="242"/>
      <c r="AJ40" s="242"/>
      <c r="AK40" s="242"/>
      <c r="AL40" s="242"/>
      <c r="AM40" s="242"/>
      <c r="AN40" s="242"/>
      <c r="AO40" s="242"/>
      <c r="AP40" s="242"/>
      <c r="AQ40" s="242"/>
      <c r="AR40" s="242"/>
      <c r="AS40" s="242"/>
      <c r="AT40" s="242"/>
      <c r="AU40" s="242"/>
      <c r="AV40" s="242"/>
      <c r="AW40" s="242"/>
      <c r="AX40" s="242"/>
      <c r="AY40" s="242"/>
      <c r="AZ40" s="249" t="str">
        <f>C40</f>
        <v>Náklady na individuální zkoušky dodaných a smontovaných technologických zařízení včetně komplexního vyzkoušení.</v>
      </c>
      <c r="BA40" s="242"/>
      <c r="BB40" s="242"/>
      <c r="BC40" s="242"/>
      <c r="BD40" s="242"/>
      <c r="BE40" s="242"/>
      <c r="BF40" s="242"/>
      <c r="BG40" s="242"/>
    </row>
    <row r="41" spans="1:59" ht="15" outlineLevel="1">
      <c r="A41" s="234">
        <v>16</v>
      </c>
      <c r="B41" s="235" t="s">
        <v>2381</v>
      </c>
      <c r="C41" s="236" t="s">
        <v>2382</v>
      </c>
      <c r="D41" s="237" t="s">
        <v>2331</v>
      </c>
      <c r="E41" s="238">
        <v>1</v>
      </c>
      <c r="F41" s="239"/>
      <c r="G41" s="240">
        <f>ROUND(E41*F41,2)</f>
        <v>0</v>
      </c>
      <c r="H41" s="239">
        <v>0</v>
      </c>
      <c r="I41" s="240">
        <f>ROUND(E41*H41,2)</f>
        <v>0</v>
      </c>
      <c r="J41" s="239">
        <v>0</v>
      </c>
      <c r="K41" s="240">
        <f>ROUND(E41*J41,2)</f>
        <v>0</v>
      </c>
      <c r="L41" s="240">
        <v>21</v>
      </c>
      <c r="M41" s="240">
        <f>G41*(1+L41/100)</f>
        <v>0</v>
      </c>
      <c r="N41" s="238">
        <v>0</v>
      </c>
      <c r="O41" s="238">
        <f>ROUND(E41*N41,2)</f>
        <v>0</v>
      </c>
      <c r="P41" s="238">
        <v>0</v>
      </c>
      <c r="Q41" s="238">
        <f>ROUND(E41*P41,2)</f>
        <v>0</v>
      </c>
      <c r="R41" s="240"/>
      <c r="S41" s="240" t="s">
        <v>2177</v>
      </c>
      <c r="T41" s="241">
        <v>0</v>
      </c>
      <c r="U41" s="241">
        <f>ROUND(E41*T41,2)</f>
        <v>0</v>
      </c>
      <c r="V41" s="241"/>
      <c r="W41" s="241" t="s">
        <v>1170</v>
      </c>
      <c r="X41" s="241" t="s">
        <v>2179</v>
      </c>
      <c r="Y41" s="242"/>
      <c r="Z41" s="242"/>
      <c r="AA41" s="242"/>
      <c r="AB41" s="242"/>
      <c r="AC41" s="242"/>
      <c r="AD41" s="242"/>
      <c r="AE41" s="242"/>
      <c r="AF41" s="242" t="s">
        <v>2332</v>
      </c>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row>
    <row r="42" spans="1:59" ht="21" outlineLevel="2">
      <c r="A42" s="243"/>
      <c r="B42" s="244"/>
      <c r="C42" s="590" t="s">
        <v>2383</v>
      </c>
      <c r="D42" s="591"/>
      <c r="E42" s="591"/>
      <c r="F42" s="591"/>
      <c r="G42" s="591"/>
      <c r="H42" s="241"/>
      <c r="I42" s="241"/>
      <c r="J42" s="241"/>
      <c r="K42" s="241"/>
      <c r="L42" s="241"/>
      <c r="M42" s="241"/>
      <c r="N42" s="245"/>
      <c r="O42" s="245"/>
      <c r="P42" s="245"/>
      <c r="Q42" s="245"/>
      <c r="R42" s="241"/>
      <c r="S42" s="241"/>
      <c r="T42" s="241"/>
      <c r="U42" s="241"/>
      <c r="V42" s="241"/>
      <c r="W42" s="241"/>
      <c r="X42" s="241"/>
      <c r="Y42" s="242"/>
      <c r="Z42" s="242"/>
      <c r="AA42" s="242"/>
      <c r="AB42" s="242"/>
      <c r="AC42" s="242"/>
      <c r="AD42" s="242"/>
      <c r="AE42" s="242"/>
      <c r="AF42" s="242" t="s">
        <v>2285</v>
      </c>
      <c r="AG42" s="242"/>
      <c r="AH42" s="242"/>
      <c r="AI42" s="242"/>
      <c r="AJ42" s="242"/>
      <c r="AK42" s="242"/>
      <c r="AL42" s="242"/>
      <c r="AM42" s="242"/>
      <c r="AN42" s="242"/>
      <c r="AO42" s="242"/>
      <c r="AP42" s="242"/>
      <c r="AQ42" s="242"/>
      <c r="AR42" s="242"/>
      <c r="AS42" s="242"/>
      <c r="AT42" s="242"/>
      <c r="AU42" s="242"/>
      <c r="AV42" s="242"/>
      <c r="AW42" s="242"/>
      <c r="AX42" s="242"/>
      <c r="AY42" s="242"/>
      <c r="AZ42" s="249" t="str">
        <f>C42</f>
        <v>Náklady zhotovitele na vypracování provozních řádů pro zkušební či trvalý provoz včetně nákladů na předání všech návodů k obsluze a údržbě pro technologická zařízení a včetně zaškolení obsluhy objednatele.</v>
      </c>
      <c r="BA42" s="242"/>
      <c r="BB42" s="242"/>
      <c r="BC42" s="242"/>
      <c r="BD42" s="242"/>
      <c r="BE42" s="242"/>
      <c r="BF42" s="242"/>
      <c r="BG42" s="242"/>
    </row>
    <row r="43" spans="1:59" ht="15" outlineLevel="1">
      <c r="A43" s="234">
        <v>17</v>
      </c>
      <c r="B43" s="235" t="s">
        <v>2384</v>
      </c>
      <c r="C43" s="236" t="s">
        <v>2385</v>
      </c>
      <c r="D43" s="237" t="s">
        <v>2331</v>
      </c>
      <c r="E43" s="238">
        <v>1</v>
      </c>
      <c r="F43" s="239"/>
      <c r="G43" s="240">
        <f>ROUND(E43*F43,2)</f>
        <v>0</v>
      </c>
      <c r="H43" s="239">
        <v>0</v>
      </c>
      <c r="I43" s="240">
        <f>ROUND(E43*H43,2)</f>
        <v>0</v>
      </c>
      <c r="J43" s="239">
        <v>0</v>
      </c>
      <c r="K43" s="240">
        <f>ROUND(E43*J43,2)</f>
        <v>0</v>
      </c>
      <c r="L43" s="240">
        <v>21</v>
      </c>
      <c r="M43" s="240">
        <f>G43*(1+L43/100)</f>
        <v>0</v>
      </c>
      <c r="N43" s="238">
        <v>0</v>
      </c>
      <c r="O43" s="238">
        <f>ROUND(E43*N43,2)</f>
        <v>0</v>
      </c>
      <c r="P43" s="238">
        <v>0</v>
      </c>
      <c r="Q43" s="238">
        <f>ROUND(E43*P43,2)</f>
        <v>0</v>
      </c>
      <c r="R43" s="240"/>
      <c r="S43" s="240" t="s">
        <v>2177</v>
      </c>
      <c r="T43" s="241">
        <v>0</v>
      </c>
      <c r="U43" s="241">
        <f>ROUND(E43*T43,2)</f>
        <v>0</v>
      </c>
      <c r="V43" s="241"/>
      <c r="W43" s="241" t="s">
        <v>1170</v>
      </c>
      <c r="X43" s="241" t="s">
        <v>2179</v>
      </c>
      <c r="Y43" s="242"/>
      <c r="Z43" s="242"/>
      <c r="AA43" s="242"/>
      <c r="AB43" s="242"/>
      <c r="AC43" s="242"/>
      <c r="AD43" s="242"/>
      <c r="AE43" s="242"/>
      <c r="AF43" s="242" t="s">
        <v>2332</v>
      </c>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row>
    <row r="44" spans="1:59" ht="15" outlineLevel="2">
      <c r="A44" s="243"/>
      <c r="B44" s="244"/>
      <c r="C44" s="590" t="s">
        <v>2386</v>
      </c>
      <c r="D44" s="591"/>
      <c r="E44" s="591"/>
      <c r="F44" s="591"/>
      <c r="G44" s="591"/>
      <c r="H44" s="241"/>
      <c r="I44" s="241"/>
      <c r="J44" s="241"/>
      <c r="K44" s="241"/>
      <c r="L44" s="241"/>
      <c r="M44" s="241"/>
      <c r="N44" s="245"/>
      <c r="O44" s="245"/>
      <c r="P44" s="245"/>
      <c r="Q44" s="245"/>
      <c r="R44" s="241"/>
      <c r="S44" s="241"/>
      <c r="T44" s="241"/>
      <c r="U44" s="241"/>
      <c r="V44" s="241"/>
      <c r="W44" s="241"/>
      <c r="X44" s="241"/>
      <c r="Y44" s="242"/>
      <c r="Z44" s="242"/>
      <c r="AA44" s="242"/>
      <c r="AB44" s="242"/>
      <c r="AC44" s="242"/>
      <c r="AD44" s="242"/>
      <c r="AE44" s="242"/>
      <c r="AF44" s="242" t="s">
        <v>2285</v>
      </c>
      <c r="AG44" s="242"/>
      <c r="AH44" s="242"/>
      <c r="AI44" s="242"/>
      <c r="AJ44" s="242"/>
      <c r="AK44" s="242"/>
      <c r="AL44" s="242"/>
      <c r="AM44" s="242"/>
      <c r="AN44" s="242"/>
      <c r="AO44" s="242"/>
      <c r="AP44" s="242"/>
      <c r="AQ44" s="242"/>
      <c r="AR44" s="242"/>
      <c r="AS44" s="242"/>
      <c r="AT44" s="242"/>
      <c r="AU44" s="242"/>
      <c r="AV44" s="242"/>
      <c r="AW44" s="242"/>
      <c r="AX44" s="242"/>
      <c r="AY44" s="242"/>
      <c r="AZ44" s="249" t="str">
        <f>C44</f>
        <v>Náklady na vyhotovení dokumentace skutečného provedení stavby a její předání objednateli v požadované formě a požadovaném počtu.</v>
      </c>
      <c r="BA44" s="242"/>
      <c r="BB44" s="242"/>
      <c r="BC44" s="242"/>
      <c r="BD44" s="242"/>
      <c r="BE44" s="242"/>
      <c r="BF44" s="242"/>
      <c r="BG44" s="242"/>
    </row>
    <row r="45" spans="1:59" ht="15" outlineLevel="1">
      <c r="A45" s="234">
        <v>18</v>
      </c>
      <c r="B45" s="235" t="s">
        <v>2387</v>
      </c>
      <c r="C45" s="236" t="s">
        <v>2388</v>
      </c>
      <c r="D45" s="237" t="s">
        <v>2331</v>
      </c>
      <c r="E45" s="238">
        <v>1</v>
      </c>
      <c r="F45" s="239"/>
      <c r="G45" s="240">
        <f>ROUND(E45*F45,2)</f>
        <v>0</v>
      </c>
      <c r="H45" s="239">
        <v>0</v>
      </c>
      <c r="I45" s="240">
        <f>ROUND(E45*H45,2)</f>
        <v>0</v>
      </c>
      <c r="J45" s="239">
        <v>0</v>
      </c>
      <c r="K45" s="240">
        <f>ROUND(E45*J45,2)</f>
        <v>0</v>
      </c>
      <c r="L45" s="240">
        <v>21</v>
      </c>
      <c r="M45" s="240">
        <f>G45*(1+L45/100)</f>
        <v>0</v>
      </c>
      <c r="N45" s="238">
        <v>0</v>
      </c>
      <c r="O45" s="238">
        <f>ROUND(E45*N45,2)</f>
        <v>0</v>
      </c>
      <c r="P45" s="238">
        <v>0</v>
      </c>
      <c r="Q45" s="238">
        <f>ROUND(E45*P45,2)</f>
        <v>0</v>
      </c>
      <c r="R45" s="240"/>
      <c r="S45" s="240" t="s">
        <v>2177</v>
      </c>
      <c r="T45" s="241">
        <v>0</v>
      </c>
      <c r="U45" s="241">
        <f>ROUND(E45*T45,2)</f>
        <v>0</v>
      </c>
      <c r="V45" s="241"/>
      <c r="W45" s="241" t="s">
        <v>1170</v>
      </c>
      <c r="X45" s="241" t="s">
        <v>2179</v>
      </c>
      <c r="Y45" s="242"/>
      <c r="Z45" s="242"/>
      <c r="AA45" s="242"/>
      <c r="AB45" s="242"/>
      <c r="AC45" s="242"/>
      <c r="AD45" s="242"/>
      <c r="AE45" s="242"/>
      <c r="AF45" s="242" t="s">
        <v>2332</v>
      </c>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row>
    <row r="46" spans="1:59" ht="15" outlineLevel="2">
      <c r="A46" s="243"/>
      <c r="B46" s="244"/>
      <c r="C46" s="590" t="s">
        <v>2389</v>
      </c>
      <c r="D46" s="591"/>
      <c r="E46" s="591"/>
      <c r="F46" s="591"/>
      <c r="G46" s="591"/>
      <c r="H46" s="241"/>
      <c r="I46" s="241"/>
      <c r="J46" s="241"/>
      <c r="K46" s="241"/>
      <c r="L46" s="241"/>
      <c r="M46" s="241"/>
      <c r="N46" s="245"/>
      <c r="O46" s="245"/>
      <c r="P46" s="245"/>
      <c r="Q46" s="245"/>
      <c r="R46" s="241"/>
      <c r="S46" s="241"/>
      <c r="T46" s="241"/>
      <c r="U46" s="241"/>
      <c r="V46" s="241"/>
      <c r="W46" s="241"/>
      <c r="X46" s="241"/>
      <c r="Y46" s="242"/>
      <c r="Z46" s="242"/>
      <c r="AA46" s="242"/>
      <c r="AB46" s="242"/>
      <c r="AC46" s="242"/>
      <c r="AD46" s="242"/>
      <c r="AE46" s="242"/>
      <c r="AF46" s="242" t="s">
        <v>2285</v>
      </c>
      <c r="AG46" s="242"/>
      <c r="AH46" s="242"/>
      <c r="AI46" s="242"/>
      <c r="AJ46" s="242"/>
      <c r="AK46" s="242"/>
      <c r="AL46" s="242"/>
      <c r="AM46" s="242"/>
      <c r="AN46" s="242"/>
      <c r="AO46" s="242"/>
      <c r="AP46" s="242"/>
      <c r="AQ46" s="242"/>
      <c r="AR46" s="242"/>
      <c r="AS46" s="242"/>
      <c r="AT46" s="242"/>
      <c r="AU46" s="242"/>
      <c r="AV46" s="242"/>
      <c r="AW46" s="242"/>
      <c r="AX46" s="242"/>
      <c r="AY46" s="242"/>
      <c r="AZ46" s="249" t="str">
        <f>C46</f>
        <v>Náklady na provedení skutečného zaměření stavby v rozsahu nezbytném pro zápis změny do katastru nemovitostí.</v>
      </c>
      <c r="BA46" s="242"/>
      <c r="BB46" s="242"/>
      <c r="BC46" s="242"/>
      <c r="BD46" s="242"/>
      <c r="BE46" s="242"/>
      <c r="BF46" s="242"/>
      <c r="BG46" s="242"/>
    </row>
    <row r="47" spans="1:32" ht="15">
      <c r="A47" s="377">
        <v>19</v>
      </c>
      <c r="B47" s="378" t="s">
        <v>2472</v>
      </c>
      <c r="C47" s="379" t="s">
        <v>2471</v>
      </c>
      <c r="D47" s="237" t="s">
        <v>2331</v>
      </c>
      <c r="E47" s="238">
        <v>1</v>
      </c>
      <c r="F47" s="239"/>
      <c r="G47" s="240">
        <f>ROUND(E47*F47,2)</f>
        <v>0</v>
      </c>
      <c r="H47" s="239">
        <v>0</v>
      </c>
      <c r="I47" s="240">
        <f>ROUND(E47*H47,2)</f>
        <v>0</v>
      </c>
      <c r="J47" s="239">
        <v>0</v>
      </c>
      <c r="K47" s="240">
        <f>ROUND(E47*J47,2)</f>
        <v>0</v>
      </c>
      <c r="L47" s="240">
        <v>21</v>
      </c>
      <c r="M47" s="240">
        <f>G47*(1+L47/100)</f>
        <v>0</v>
      </c>
      <c r="N47" s="238">
        <v>0</v>
      </c>
      <c r="O47" s="238">
        <f>ROUND(E47*N47,2)</f>
        <v>0</v>
      </c>
      <c r="P47" s="238">
        <v>0</v>
      </c>
      <c r="Q47" s="238">
        <f>ROUND(E47*P47,2)</f>
        <v>0</v>
      </c>
      <c r="R47" s="240"/>
      <c r="S47" s="240" t="s">
        <v>2130</v>
      </c>
      <c r="T47" s="222"/>
      <c r="U47" s="222"/>
      <c r="V47" s="222"/>
      <c r="W47" s="222"/>
      <c r="X47" s="222"/>
      <c r="AD47" s="210">
        <v>15</v>
      </c>
      <c r="AE47" s="210">
        <v>21</v>
      </c>
      <c r="AF47" s="210" t="s">
        <v>859</v>
      </c>
    </row>
    <row r="48" spans="1:32" ht="15">
      <c r="A48" s="258"/>
      <c r="B48" s="259" t="s">
        <v>34</v>
      </c>
      <c r="C48" s="260"/>
      <c r="D48" s="261"/>
      <c r="E48" s="262"/>
      <c r="F48" s="262"/>
      <c r="G48" s="263">
        <f>G8+G26</f>
        <v>0</v>
      </c>
      <c r="H48" s="222"/>
      <c r="I48" s="222"/>
      <c r="J48" s="222"/>
      <c r="K48" s="222"/>
      <c r="L48" s="222"/>
      <c r="M48" s="222"/>
      <c r="N48" s="222"/>
      <c r="O48" s="222"/>
      <c r="P48" s="222"/>
      <c r="Q48" s="222"/>
      <c r="R48" s="222"/>
      <c r="S48" s="222"/>
      <c r="T48" s="222"/>
      <c r="U48" s="222"/>
      <c r="V48" s="222"/>
      <c r="W48" s="222"/>
      <c r="X48" s="222"/>
      <c r="AD48" s="210">
        <f>SUMIF(L7:L46,AD47,G7:G46)</f>
        <v>0</v>
      </c>
      <c r="AE48" s="210">
        <f>SUMIF(L7:L46,AE47,G7:G46)</f>
        <v>0</v>
      </c>
      <c r="AF48" s="210" t="s">
        <v>2320</v>
      </c>
    </row>
    <row r="49" spans="3:32" ht="15">
      <c r="C49" s="264"/>
      <c r="D49" s="216"/>
      <c r="AF49" s="210" t="s">
        <v>2321</v>
      </c>
    </row>
    <row r="50" ht="15">
      <c r="D50" s="216"/>
    </row>
    <row r="51" ht="15">
      <c r="D51" s="216"/>
    </row>
    <row r="52" ht="15">
      <c r="D52" s="216"/>
    </row>
    <row r="53" ht="15">
      <c r="D53" s="216"/>
    </row>
    <row r="54" ht="15">
      <c r="D54" s="216"/>
    </row>
    <row r="55" ht="15">
      <c r="D55" s="216"/>
    </row>
    <row r="56" ht="15">
      <c r="D56" s="216"/>
    </row>
    <row r="57" ht="15">
      <c r="D57" s="216"/>
    </row>
    <row r="58" ht="15">
      <c r="D58" s="216"/>
    </row>
    <row r="59" ht="15">
      <c r="D59" s="216"/>
    </row>
    <row r="60" ht="15">
      <c r="D60" s="216"/>
    </row>
    <row r="61" ht="15">
      <c r="D61" s="216"/>
    </row>
    <row r="62" ht="15">
      <c r="D62" s="216"/>
    </row>
    <row r="63" ht="15">
      <c r="D63" s="216"/>
    </row>
    <row r="64" ht="15">
      <c r="D64" s="216"/>
    </row>
    <row r="65" ht="15">
      <c r="D65" s="216"/>
    </row>
    <row r="66" ht="15">
      <c r="D66" s="216"/>
    </row>
    <row r="67" ht="15">
      <c r="D67" s="216"/>
    </row>
    <row r="68" ht="15">
      <c r="D68" s="216"/>
    </row>
    <row r="69" ht="15">
      <c r="D69" s="216"/>
    </row>
    <row r="70" ht="15">
      <c r="D70" s="216"/>
    </row>
    <row r="71" ht="15">
      <c r="D71" s="216"/>
    </row>
    <row r="72" ht="15">
      <c r="D72" s="216"/>
    </row>
    <row r="73" ht="15">
      <c r="D73" s="216"/>
    </row>
    <row r="74" ht="15">
      <c r="D74" s="216"/>
    </row>
    <row r="75" ht="15">
      <c r="D75" s="216"/>
    </row>
    <row r="76" ht="15">
      <c r="D76" s="216"/>
    </row>
    <row r="77" ht="15">
      <c r="D77" s="216"/>
    </row>
    <row r="78" ht="15">
      <c r="D78" s="216"/>
    </row>
    <row r="79" ht="15">
      <c r="D79" s="216"/>
    </row>
    <row r="80" ht="15">
      <c r="D80" s="216"/>
    </row>
    <row r="81" ht="15">
      <c r="D81" s="216"/>
    </row>
    <row r="82" ht="15">
      <c r="D82" s="216"/>
    </row>
    <row r="83" ht="15">
      <c r="D83" s="216"/>
    </row>
    <row r="84" ht="15">
      <c r="D84" s="216"/>
    </row>
    <row r="85" ht="15">
      <c r="D85" s="216"/>
    </row>
    <row r="86" ht="15">
      <c r="D86" s="216"/>
    </row>
    <row r="87" ht="15">
      <c r="D87" s="216"/>
    </row>
    <row r="88" ht="15">
      <c r="D88" s="216"/>
    </row>
    <row r="89" ht="15">
      <c r="D89" s="216"/>
    </row>
    <row r="90" ht="15">
      <c r="D90" s="216"/>
    </row>
    <row r="91" ht="15">
      <c r="D91" s="216"/>
    </row>
    <row r="92" ht="15">
      <c r="D92" s="216"/>
    </row>
    <row r="93" ht="15">
      <c r="D93" s="216"/>
    </row>
    <row r="94" ht="15">
      <c r="D94" s="216"/>
    </row>
    <row r="95" ht="15">
      <c r="D95" s="216"/>
    </row>
    <row r="96" ht="15">
      <c r="D96" s="216"/>
    </row>
    <row r="97" ht="15">
      <c r="D97" s="216"/>
    </row>
    <row r="98" ht="15">
      <c r="D98" s="216"/>
    </row>
    <row r="99" ht="15">
      <c r="D99" s="216"/>
    </row>
    <row r="100" ht="15">
      <c r="D100" s="216"/>
    </row>
    <row r="101" ht="15">
      <c r="D101" s="216"/>
    </row>
    <row r="102" ht="15">
      <c r="D102" s="216"/>
    </row>
    <row r="103" ht="15">
      <c r="D103" s="216"/>
    </row>
    <row r="104" ht="15">
      <c r="D104" s="216"/>
    </row>
    <row r="105" ht="15">
      <c r="D105" s="216"/>
    </row>
    <row r="106" ht="15">
      <c r="D106" s="216"/>
    </row>
    <row r="107" ht="15">
      <c r="D107" s="216"/>
    </row>
    <row r="108" ht="15">
      <c r="D108" s="216"/>
    </row>
    <row r="109" ht="15">
      <c r="D109" s="216"/>
    </row>
    <row r="110" ht="15">
      <c r="D110" s="216"/>
    </row>
    <row r="111" ht="15">
      <c r="D111" s="216"/>
    </row>
    <row r="112" ht="15">
      <c r="D112" s="216"/>
    </row>
    <row r="113" ht="15">
      <c r="D113" s="216"/>
    </row>
    <row r="114" ht="15">
      <c r="D114" s="216"/>
    </row>
    <row r="115" ht="15">
      <c r="D115" s="216"/>
    </row>
    <row r="116" ht="15">
      <c r="D116" s="216"/>
    </row>
    <row r="117" ht="15">
      <c r="D117" s="216"/>
    </row>
    <row r="118" ht="15">
      <c r="D118" s="216"/>
    </row>
    <row r="119" ht="15">
      <c r="D119" s="216"/>
    </row>
    <row r="120" ht="15">
      <c r="D120" s="216"/>
    </row>
    <row r="121" ht="15">
      <c r="D121" s="216"/>
    </row>
    <row r="122" ht="15">
      <c r="D122" s="216"/>
    </row>
    <row r="123" ht="15">
      <c r="D123" s="216"/>
    </row>
    <row r="124" ht="15">
      <c r="D124" s="216"/>
    </row>
    <row r="125" ht="15">
      <c r="D125" s="216"/>
    </row>
    <row r="126" ht="15">
      <c r="D126" s="216"/>
    </row>
    <row r="127" ht="15">
      <c r="D127" s="216"/>
    </row>
    <row r="128" ht="15">
      <c r="D128" s="216"/>
    </row>
    <row r="129" ht="15">
      <c r="D129" s="216"/>
    </row>
    <row r="130" ht="15">
      <c r="D130" s="216"/>
    </row>
    <row r="131" ht="15">
      <c r="D131" s="216"/>
    </row>
    <row r="132" ht="15">
      <c r="D132" s="216"/>
    </row>
    <row r="133" ht="15">
      <c r="D133" s="216"/>
    </row>
    <row r="134" ht="15">
      <c r="D134" s="216"/>
    </row>
    <row r="135" ht="15">
      <c r="D135" s="216"/>
    </row>
    <row r="136" ht="15">
      <c r="D136" s="216"/>
    </row>
    <row r="137" ht="15">
      <c r="D137" s="216"/>
    </row>
    <row r="138" ht="15">
      <c r="D138" s="216"/>
    </row>
    <row r="139" ht="15">
      <c r="D139" s="216"/>
    </row>
    <row r="140" ht="15">
      <c r="D140" s="216"/>
    </row>
    <row r="141" ht="15">
      <c r="D141" s="216"/>
    </row>
    <row r="142" ht="15">
      <c r="D142" s="216"/>
    </row>
    <row r="143" ht="15">
      <c r="D143" s="216"/>
    </row>
    <row r="144" ht="15">
      <c r="D144" s="216"/>
    </row>
    <row r="145" ht="15">
      <c r="D145" s="216"/>
    </row>
    <row r="146" ht="15">
      <c r="D146" s="216"/>
    </row>
    <row r="147" ht="15">
      <c r="D147" s="216"/>
    </row>
    <row r="148" ht="15">
      <c r="D148" s="216"/>
    </row>
    <row r="149" ht="15">
      <c r="D149" s="216"/>
    </row>
    <row r="150" ht="15">
      <c r="D150" s="216"/>
    </row>
    <row r="151" ht="15">
      <c r="D151" s="216"/>
    </row>
    <row r="152" ht="15">
      <c r="D152" s="216"/>
    </row>
    <row r="153" ht="15">
      <c r="D153" s="216"/>
    </row>
    <row r="154" ht="15">
      <c r="D154" s="216"/>
    </row>
    <row r="155" ht="15">
      <c r="D155" s="216"/>
    </row>
    <row r="156" ht="15">
      <c r="D156" s="216"/>
    </row>
    <row r="157" ht="15">
      <c r="D157" s="216"/>
    </row>
    <row r="158" ht="15">
      <c r="D158" s="216"/>
    </row>
    <row r="159" ht="15">
      <c r="D159" s="216"/>
    </row>
    <row r="160" ht="15">
      <c r="D160" s="216"/>
    </row>
    <row r="161" ht="15">
      <c r="D161" s="216"/>
    </row>
    <row r="162" ht="15">
      <c r="D162" s="216"/>
    </row>
    <row r="163" ht="15">
      <c r="D163" s="216"/>
    </row>
    <row r="164" ht="15">
      <c r="D164" s="216"/>
    </row>
    <row r="165" ht="15">
      <c r="D165" s="216"/>
    </row>
    <row r="166" ht="15">
      <c r="D166" s="216"/>
    </row>
    <row r="167" ht="15">
      <c r="D167" s="216"/>
    </row>
    <row r="168" ht="15">
      <c r="D168" s="216"/>
    </row>
    <row r="169" ht="15">
      <c r="D169" s="216"/>
    </row>
    <row r="170" ht="15">
      <c r="D170" s="216"/>
    </row>
    <row r="171" ht="15">
      <c r="D171" s="216"/>
    </row>
    <row r="172" ht="15">
      <c r="D172" s="216"/>
    </row>
    <row r="173" ht="15">
      <c r="D173" s="216"/>
    </row>
    <row r="174" ht="15">
      <c r="D174" s="216"/>
    </row>
    <row r="175" ht="15">
      <c r="D175" s="216"/>
    </row>
    <row r="176" ht="15">
      <c r="D176" s="216"/>
    </row>
    <row r="177" ht="15">
      <c r="D177" s="216"/>
    </row>
    <row r="178" ht="15">
      <c r="D178" s="216"/>
    </row>
    <row r="179" ht="15">
      <c r="D179" s="216"/>
    </row>
    <row r="180" ht="15">
      <c r="D180" s="216"/>
    </row>
    <row r="181" ht="15">
      <c r="D181" s="216"/>
    </row>
    <row r="182" ht="15">
      <c r="D182" s="216"/>
    </row>
    <row r="183" ht="15">
      <c r="D183" s="216"/>
    </row>
    <row r="184" ht="15">
      <c r="D184" s="216"/>
    </row>
    <row r="185" ht="15">
      <c r="D185" s="216"/>
    </row>
    <row r="186" ht="15">
      <c r="D186" s="216"/>
    </row>
    <row r="187" ht="15">
      <c r="D187" s="216"/>
    </row>
    <row r="188" ht="15">
      <c r="D188" s="216"/>
    </row>
    <row r="189" ht="15">
      <c r="D189" s="216"/>
    </row>
    <row r="190" ht="15">
      <c r="D190" s="216"/>
    </row>
    <row r="191" ht="15">
      <c r="D191" s="216"/>
    </row>
    <row r="192" ht="15">
      <c r="D192" s="216"/>
    </row>
    <row r="193" ht="15">
      <c r="D193" s="216"/>
    </row>
    <row r="194" ht="15">
      <c r="D194" s="216"/>
    </row>
    <row r="195" ht="15">
      <c r="D195" s="216"/>
    </row>
    <row r="196" ht="15">
      <c r="D196" s="216"/>
    </row>
    <row r="197" ht="15">
      <c r="D197" s="216"/>
    </row>
    <row r="198" ht="15">
      <c r="D198" s="216"/>
    </row>
    <row r="199" ht="15">
      <c r="D199" s="216"/>
    </row>
    <row r="200" ht="15">
      <c r="D200" s="216"/>
    </row>
    <row r="201" ht="15">
      <c r="D201" s="216"/>
    </row>
    <row r="202" ht="15">
      <c r="D202" s="216"/>
    </row>
    <row r="203" ht="15">
      <c r="D203" s="216"/>
    </row>
    <row r="204" ht="15">
      <c r="D204" s="216"/>
    </row>
    <row r="205" ht="15">
      <c r="D205" s="216"/>
    </row>
    <row r="206" ht="15">
      <c r="D206" s="216"/>
    </row>
    <row r="207" ht="15">
      <c r="D207" s="216"/>
    </row>
    <row r="208" ht="15">
      <c r="D208" s="216"/>
    </row>
    <row r="209" ht="15">
      <c r="D209" s="216"/>
    </row>
    <row r="210" ht="15">
      <c r="D210" s="216"/>
    </row>
    <row r="211" ht="15">
      <c r="D211" s="216"/>
    </row>
    <row r="212" ht="15">
      <c r="D212" s="216"/>
    </row>
    <row r="213" ht="15">
      <c r="D213" s="216"/>
    </row>
    <row r="214" ht="15">
      <c r="D214" s="216"/>
    </row>
    <row r="215" ht="15">
      <c r="D215" s="216"/>
    </row>
    <row r="216" ht="15">
      <c r="D216" s="216"/>
    </row>
    <row r="217" ht="15">
      <c r="D217" s="216"/>
    </row>
    <row r="218" ht="15">
      <c r="D218" s="216"/>
    </row>
    <row r="219" ht="15">
      <c r="D219" s="216"/>
    </row>
    <row r="220" ht="15">
      <c r="D220" s="216"/>
    </row>
    <row r="221" ht="15">
      <c r="D221" s="216"/>
    </row>
    <row r="222" ht="15">
      <c r="D222" s="216"/>
    </row>
    <row r="223" ht="15">
      <c r="D223" s="216"/>
    </row>
    <row r="224" ht="15">
      <c r="D224" s="216"/>
    </row>
    <row r="225" ht="15">
      <c r="D225" s="216"/>
    </row>
    <row r="226" ht="15">
      <c r="D226" s="216"/>
    </row>
    <row r="227" ht="15">
      <c r="D227" s="216"/>
    </row>
    <row r="228" ht="15">
      <c r="D228" s="216"/>
    </row>
    <row r="229" ht="15">
      <c r="D229" s="216"/>
    </row>
    <row r="230" ht="15">
      <c r="D230" s="216"/>
    </row>
    <row r="231" ht="15">
      <c r="D231" s="216"/>
    </row>
    <row r="232" ht="15">
      <c r="D232" s="216"/>
    </row>
    <row r="233" ht="15">
      <c r="D233" s="216"/>
    </row>
    <row r="234" ht="15">
      <c r="D234" s="216"/>
    </row>
    <row r="235" ht="15">
      <c r="D235" s="216"/>
    </row>
    <row r="236" ht="15">
      <c r="D236" s="216"/>
    </row>
    <row r="237" ht="15">
      <c r="D237" s="216"/>
    </row>
    <row r="238" ht="15">
      <c r="D238" s="216"/>
    </row>
    <row r="239" ht="15">
      <c r="D239" s="216"/>
    </row>
    <row r="240" ht="15">
      <c r="D240" s="216"/>
    </row>
    <row r="241" ht="15">
      <c r="D241" s="216"/>
    </row>
    <row r="242" ht="15">
      <c r="D242" s="216"/>
    </row>
    <row r="243" ht="15">
      <c r="D243" s="216"/>
    </row>
    <row r="244" ht="15">
      <c r="D244" s="216"/>
    </row>
    <row r="245" ht="15">
      <c r="D245" s="216"/>
    </row>
    <row r="246" ht="15">
      <c r="D246" s="216"/>
    </row>
    <row r="247" ht="15">
      <c r="D247" s="216"/>
    </row>
    <row r="248" ht="15">
      <c r="D248" s="216"/>
    </row>
    <row r="249" ht="15">
      <c r="D249" s="216"/>
    </row>
    <row r="250" ht="15">
      <c r="D250" s="216"/>
    </row>
    <row r="251" ht="15">
      <c r="D251" s="216"/>
    </row>
    <row r="252" ht="15">
      <c r="D252" s="216"/>
    </row>
    <row r="253" ht="15">
      <c r="D253" s="216"/>
    </row>
    <row r="254" ht="15">
      <c r="D254" s="216"/>
    </row>
    <row r="255" ht="15">
      <c r="D255" s="216"/>
    </row>
    <row r="256" ht="15">
      <c r="D256" s="216"/>
    </row>
    <row r="257" ht="15">
      <c r="D257" s="216"/>
    </row>
    <row r="258" ht="15">
      <c r="D258" s="216"/>
    </row>
    <row r="259" ht="15">
      <c r="D259" s="216"/>
    </row>
    <row r="260" ht="15">
      <c r="D260" s="216"/>
    </row>
    <row r="261" ht="15">
      <c r="D261" s="216"/>
    </row>
    <row r="262" ht="15">
      <c r="D262" s="216"/>
    </row>
    <row r="263" ht="15">
      <c r="D263" s="216"/>
    </row>
    <row r="264" ht="15">
      <c r="D264" s="216"/>
    </row>
    <row r="265" ht="15">
      <c r="D265" s="216"/>
    </row>
    <row r="266" ht="15">
      <c r="D266" s="216"/>
    </row>
    <row r="267" ht="15">
      <c r="D267" s="216"/>
    </row>
    <row r="268" ht="15">
      <c r="D268" s="216"/>
    </row>
    <row r="269" ht="15">
      <c r="D269" s="216"/>
    </row>
    <row r="270" ht="15">
      <c r="D270" s="216"/>
    </row>
    <row r="271" ht="15">
      <c r="D271" s="216"/>
    </row>
    <row r="272" ht="15">
      <c r="D272" s="216"/>
    </row>
    <row r="273" ht="15">
      <c r="D273" s="216"/>
    </row>
    <row r="274" ht="15">
      <c r="D274" s="216"/>
    </row>
    <row r="275" ht="15">
      <c r="D275" s="216"/>
    </row>
    <row r="276" ht="15">
      <c r="D276" s="216"/>
    </row>
    <row r="277" ht="15">
      <c r="D277" s="216"/>
    </row>
    <row r="278" ht="15">
      <c r="D278" s="216"/>
    </row>
    <row r="279" ht="15">
      <c r="D279" s="216"/>
    </row>
    <row r="280" ht="15">
      <c r="D280" s="216"/>
    </row>
    <row r="281" ht="15">
      <c r="D281" s="216"/>
    </row>
    <row r="282" ht="15">
      <c r="D282" s="216"/>
    </row>
    <row r="283" ht="15">
      <c r="D283" s="216"/>
    </row>
    <row r="284" ht="15">
      <c r="D284" s="216"/>
    </row>
    <row r="285" ht="15">
      <c r="D285" s="216"/>
    </row>
    <row r="286" ht="15">
      <c r="D286" s="216"/>
    </row>
    <row r="287" ht="15">
      <c r="D287" s="216"/>
    </row>
    <row r="288" ht="15">
      <c r="D288" s="216"/>
    </row>
    <row r="289" ht="15">
      <c r="D289" s="216"/>
    </row>
    <row r="290" ht="15">
      <c r="D290" s="216"/>
    </row>
    <row r="291" ht="15">
      <c r="D291" s="216"/>
    </row>
    <row r="292" ht="15">
      <c r="D292" s="216"/>
    </row>
    <row r="293" ht="15">
      <c r="D293" s="216"/>
    </row>
    <row r="294" ht="15">
      <c r="D294" s="216"/>
    </row>
    <row r="295" ht="15">
      <c r="D295" s="216"/>
    </row>
    <row r="296" ht="15">
      <c r="D296" s="216"/>
    </row>
    <row r="297" ht="15">
      <c r="D297" s="216"/>
    </row>
    <row r="298" ht="15">
      <c r="D298" s="216"/>
    </row>
    <row r="299" ht="15">
      <c r="D299" s="216"/>
    </row>
    <row r="300" ht="15">
      <c r="D300" s="216"/>
    </row>
    <row r="301" ht="15">
      <c r="D301" s="216"/>
    </row>
    <row r="302" ht="15">
      <c r="D302" s="216"/>
    </row>
    <row r="303" ht="15">
      <c r="D303" s="216"/>
    </row>
    <row r="304" ht="15">
      <c r="D304" s="216"/>
    </row>
    <row r="305" ht="15">
      <c r="D305" s="216"/>
    </row>
    <row r="306" ht="15">
      <c r="D306" s="216"/>
    </row>
    <row r="307" ht="15">
      <c r="D307" s="216"/>
    </row>
    <row r="308" ht="15">
      <c r="D308" s="216"/>
    </row>
    <row r="309" ht="15">
      <c r="D309" s="216"/>
    </row>
    <row r="310" ht="15">
      <c r="D310" s="216"/>
    </row>
    <row r="311" ht="15">
      <c r="D311" s="216"/>
    </row>
    <row r="312" ht="15">
      <c r="D312" s="216"/>
    </row>
    <row r="313" ht="15">
      <c r="D313" s="216"/>
    </row>
    <row r="314" ht="15">
      <c r="D314" s="216"/>
    </row>
    <row r="315" ht="15">
      <c r="D315" s="216"/>
    </row>
    <row r="316" ht="15">
      <c r="D316" s="216"/>
    </row>
    <row r="317" ht="15">
      <c r="D317" s="216"/>
    </row>
    <row r="318" ht="15">
      <c r="D318" s="216"/>
    </row>
    <row r="319" ht="15">
      <c r="D319" s="216"/>
    </row>
    <row r="320" ht="15">
      <c r="D320" s="216"/>
    </row>
    <row r="321" ht="15">
      <c r="D321" s="216"/>
    </row>
    <row r="322" ht="15">
      <c r="D322" s="216"/>
    </row>
    <row r="323" ht="15">
      <c r="D323" s="216"/>
    </row>
    <row r="324" ht="15">
      <c r="D324" s="216"/>
    </row>
    <row r="325" ht="15">
      <c r="D325" s="216"/>
    </row>
    <row r="326" ht="15">
      <c r="D326" s="216"/>
    </row>
    <row r="327" ht="15">
      <c r="D327" s="216"/>
    </row>
    <row r="328" ht="15">
      <c r="D328" s="216"/>
    </row>
    <row r="329" ht="15">
      <c r="D329" s="216"/>
    </row>
    <row r="330" ht="15">
      <c r="D330" s="216"/>
    </row>
    <row r="331" ht="15">
      <c r="D331" s="216"/>
    </row>
    <row r="332" ht="15">
      <c r="D332" s="216"/>
    </row>
    <row r="333" ht="15">
      <c r="D333" s="216"/>
    </row>
    <row r="334" ht="15">
      <c r="D334" s="216"/>
    </row>
    <row r="335" ht="15">
      <c r="D335" s="216"/>
    </row>
    <row r="336" ht="15">
      <c r="D336" s="216"/>
    </row>
    <row r="337" ht="15">
      <c r="D337" s="216"/>
    </row>
    <row r="338" ht="15">
      <c r="D338" s="216"/>
    </row>
    <row r="339" ht="15">
      <c r="D339" s="216"/>
    </row>
    <row r="340" ht="15">
      <c r="D340" s="216"/>
    </row>
    <row r="341" ht="15">
      <c r="D341" s="216"/>
    </row>
    <row r="342" ht="15">
      <c r="D342" s="216"/>
    </row>
    <row r="343" ht="15">
      <c r="D343" s="216"/>
    </row>
    <row r="344" ht="15">
      <c r="D344" s="216"/>
    </row>
    <row r="345" ht="15">
      <c r="D345" s="216"/>
    </row>
    <row r="346" ht="15">
      <c r="D346" s="216"/>
    </row>
    <row r="347" ht="15">
      <c r="D347" s="216"/>
    </row>
    <row r="348" ht="15">
      <c r="D348" s="216"/>
    </row>
    <row r="349" ht="15">
      <c r="D349" s="216"/>
    </row>
    <row r="350" ht="15">
      <c r="D350" s="216"/>
    </row>
    <row r="351" ht="15">
      <c r="D351" s="216"/>
    </row>
    <row r="352" ht="15">
      <c r="D352" s="216"/>
    </row>
    <row r="353" ht="15">
      <c r="D353" s="216"/>
    </row>
    <row r="354" ht="15">
      <c r="D354" s="216"/>
    </row>
    <row r="355" ht="15">
      <c r="D355" s="216"/>
    </row>
    <row r="356" ht="15">
      <c r="D356" s="216"/>
    </row>
    <row r="357" ht="15">
      <c r="D357" s="216"/>
    </row>
    <row r="358" ht="15">
      <c r="D358" s="216"/>
    </row>
    <row r="359" ht="15">
      <c r="D359" s="216"/>
    </row>
    <row r="360" ht="15">
      <c r="D360" s="216"/>
    </row>
    <row r="361" ht="15">
      <c r="D361" s="216"/>
    </row>
    <row r="362" ht="15">
      <c r="D362" s="216"/>
    </row>
    <row r="363" ht="15">
      <c r="D363" s="216"/>
    </row>
    <row r="364" ht="15">
      <c r="D364" s="216"/>
    </row>
    <row r="365" ht="15">
      <c r="D365" s="216"/>
    </row>
    <row r="366" ht="15">
      <c r="D366" s="216"/>
    </row>
    <row r="367" ht="15">
      <c r="D367" s="216"/>
    </row>
    <row r="368" ht="15">
      <c r="D368" s="216"/>
    </row>
    <row r="369" ht="15">
      <c r="D369" s="216"/>
    </row>
    <row r="370" ht="15">
      <c r="D370" s="216"/>
    </row>
    <row r="371" ht="15">
      <c r="D371" s="216"/>
    </row>
    <row r="372" ht="15">
      <c r="D372" s="216"/>
    </row>
    <row r="373" ht="15">
      <c r="D373" s="216"/>
    </row>
    <row r="374" ht="15">
      <c r="D374" s="216"/>
    </row>
    <row r="375" ht="15">
      <c r="D375" s="216"/>
    </row>
    <row r="376" ht="15">
      <c r="D376" s="216"/>
    </row>
    <row r="377" ht="15">
      <c r="D377" s="216"/>
    </row>
    <row r="378" ht="15">
      <c r="D378" s="216"/>
    </row>
    <row r="379" ht="15">
      <c r="D379" s="216"/>
    </row>
    <row r="380" ht="15">
      <c r="D380" s="216"/>
    </row>
    <row r="381" ht="15">
      <c r="D381" s="216"/>
    </row>
    <row r="382" ht="15">
      <c r="D382" s="216"/>
    </row>
    <row r="383" ht="15">
      <c r="D383" s="216"/>
    </row>
    <row r="384" ht="15">
      <c r="D384" s="216"/>
    </row>
    <row r="385" ht="15">
      <c r="D385" s="216"/>
    </row>
    <row r="386" ht="15">
      <c r="D386" s="216"/>
    </row>
    <row r="387" ht="15">
      <c r="D387" s="216"/>
    </row>
    <row r="388" ht="15">
      <c r="D388" s="216"/>
    </row>
    <row r="389" ht="15">
      <c r="D389" s="216"/>
    </row>
    <row r="390" ht="15">
      <c r="D390" s="216"/>
    </row>
    <row r="391" ht="15">
      <c r="D391" s="216"/>
    </row>
    <row r="392" ht="15">
      <c r="D392" s="216"/>
    </row>
    <row r="393" ht="15">
      <c r="D393" s="216"/>
    </row>
    <row r="394" ht="15">
      <c r="D394" s="216"/>
    </row>
    <row r="395" ht="15">
      <c r="D395" s="216"/>
    </row>
    <row r="396" ht="15">
      <c r="D396" s="216"/>
    </row>
    <row r="397" ht="15">
      <c r="D397" s="216"/>
    </row>
    <row r="398" ht="15">
      <c r="D398" s="216"/>
    </row>
    <row r="399" ht="15">
      <c r="D399" s="216"/>
    </row>
    <row r="400" ht="15">
      <c r="D400" s="216"/>
    </row>
    <row r="401" ht="15">
      <c r="D401" s="216"/>
    </row>
    <row r="402" ht="15">
      <c r="D402" s="216"/>
    </row>
    <row r="403" ht="15">
      <c r="D403" s="216"/>
    </row>
    <row r="404" ht="15">
      <c r="D404" s="216"/>
    </row>
    <row r="405" ht="15">
      <c r="D405" s="216"/>
    </row>
    <row r="406" ht="15">
      <c r="D406" s="216"/>
    </row>
    <row r="407" ht="15">
      <c r="D407" s="216"/>
    </row>
    <row r="408" ht="15">
      <c r="D408" s="216"/>
    </row>
    <row r="409" ht="15">
      <c r="D409" s="216"/>
    </row>
    <row r="410" ht="15">
      <c r="D410" s="216"/>
    </row>
    <row r="411" ht="15">
      <c r="D411" s="216"/>
    </row>
    <row r="412" ht="15">
      <c r="D412" s="216"/>
    </row>
    <row r="413" ht="15">
      <c r="D413" s="216"/>
    </row>
    <row r="414" ht="15">
      <c r="D414" s="216"/>
    </row>
    <row r="415" ht="15">
      <c r="D415" s="216"/>
    </row>
    <row r="416" ht="15">
      <c r="D416" s="216"/>
    </row>
    <row r="417" ht="15">
      <c r="D417" s="216"/>
    </row>
    <row r="418" ht="15">
      <c r="D418" s="216"/>
    </row>
    <row r="419" ht="15">
      <c r="D419" s="216"/>
    </row>
    <row r="420" ht="15">
      <c r="D420" s="216"/>
    </row>
    <row r="421" ht="15">
      <c r="D421" s="216"/>
    </row>
    <row r="422" ht="15">
      <c r="D422" s="216"/>
    </row>
    <row r="423" ht="15">
      <c r="D423" s="216"/>
    </row>
    <row r="424" ht="15">
      <c r="D424" s="216"/>
    </row>
    <row r="425" ht="15">
      <c r="D425" s="216"/>
    </row>
    <row r="426" ht="15">
      <c r="D426" s="216"/>
    </row>
    <row r="427" ht="15">
      <c r="D427" s="216"/>
    </row>
    <row r="428" ht="15">
      <c r="D428" s="216"/>
    </row>
    <row r="429" ht="15">
      <c r="D429" s="216"/>
    </row>
    <row r="430" ht="15">
      <c r="D430" s="216"/>
    </row>
    <row r="431" ht="15">
      <c r="D431" s="216"/>
    </row>
    <row r="432" ht="15">
      <c r="D432" s="216"/>
    </row>
    <row r="433" ht="15">
      <c r="D433" s="216"/>
    </row>
    <row r="434" ht="15">
      <c r="D434" s="216"/>
    </row>
    <row r="435" ht="15">
      <c r="D435" s="216"/>
    </row>
    <row r="436" ht="15">
      <c r="D436" s="216"/>
    </row>
    <row r="437" ht="15">
      <c r="D437" s="216"/>
    </row>
    <row r="438" ht="15">
      <c r="D438" s="216"/>
    </row>
    <row r="439" ht="15">
      <c r="D439" s="216"/>
    </row>
    <row r="440" ht="15">
      <c r="D440" s="216"/>
    </row>
    <row r="441" ht="15">
      <c r="D441" s="216"/>
    </row>
    <row r="442" ht="15">
      <c r="D442" s="216"/>
    </row>
    <row r="443" ht="15">
      <c r="D443" s="216"/>
    </row>
    <row r="444" ht="15">
      <c r="D444" s="216"/>
    </row>
    <row r="445" ht="15">
      <c r="D445" s="216"/>
    </row>
    <row r="446" ht="15">
      <c r="D446" s="216"/>
    </row>
    <row r="447" ht="15">
      <c r="D447" s="216"/>
    </row>
    <row r="448" ht="15">
      <c r="D448" s="216"/>
    </row>
    <row r="449" ht="15">
      <c r="D449" s="216"/>
    </row>
    <row r="450" ht="15">
      <c r="D450" s="216"/>
    </row>
    <row r="451" ht="15">
      <c r="D451" s="216"/>
    </row>
    <row r="452" ht="15">
      <c r="D452" s="216"/>
    </row>
    <row r="453" ht="15">
      <c r="D453" s="216"/>
    </row>
    <row r="454" ht="15">
      <c r="D454" s="216"/>
    </row>
    <row r="455" ht="15">
      <c r="D455" s="216"/>
    </row>
    <row r="456" ht="15">
      <c r="D456" s="216"/>
    </row>
    <row r="457" ht="15">
      <c r="D457" s="216"/>
    </row>
    <row r="458" ht="15">
      <c r="D458" s="216"/>
    </row>
    <row r="459" ht="15">
      <c r="D459" s="216"/>
    </row>
    <row r="460" ht="15">
      <c r="D460" s="216"/>
    </row>
    <row r="461" ht="15">
      <c r="D461" s="216"/>
    </row>
    <row r="462" ht="15">
      <c r="D462" s="216"/>
    </row>
    <row r="463" ht="15">
      <c r="D463" s="216"/>
    </row>
    <row r="464" ht="15">
      <c r="D464" s="216"/>
    </row>
    <row r="465" ht="15">
      <c r="D465" s="216"/>
    </row>
    <row r="466" ht="15">
      <c r="D466" s="216"/>
    </row>
    <row r="467" ht="15">
      <c r="D467" s="216"/>
    </row>
    <row r="468" ht="15">
      <c r="D468" s="216"/>
    </row>
    <row r="469" ht="15">
      <c r="D469" s="216"/>
    </row>
    <row r="470" ht="15">
      <c r="D470" s="216"/>
    </row>
    <row r="471" ht="15">
      <c r="D471" s="216"/>
    </row>
    <row r="472" ht="15">
      <c r="D472" s="216"/>
    </row>
    <row r="473" ht="15">
      <c r="D473" s="216"/>
    </row>
    <row r="474" ht="15">
      <c r="D474" s="216"/>
    </row>
    <row r="475" ht="15">
      <c r="D475" s="216"/>
    </row>
    <row r="476" ht="15">
      <c r="D476" s="216"/>
    </row>
    <row r="477" ht="15">
      <c r="D477" s="216"/>
    </row>
    <row r="478" ht="15">
      <c r="D478" s="216"/>
    </row>
    <row r="479" ht="15">
      <c r="D479" s="216"/>
    </row>
    <row r="480" ht="15">
      <c r="D480" s="216"/>
    </row>
    <row r="481" ht="15">
      <c r="D481" s="216"/>
    </row>
    <row r="482" ht="15">
      <c r="D482" s="216"/>
    </row>
    <row r="483" ht="15">
      <c r="D483" s="216"/>
    </row>
    <row r="484" ht="15">
      <c r="D484" s="216"/>
    </row>
    <row r="485" ht="15">
      <c r="D485" s="216"/>
    </row>
    <row r="486" ht="15">
      <c r="D486" s="216"/>
    </row>
    <row r="487" ht="15">
      <c r="D487" s="216"/>
    </row>
    <row r="488" ht="15">
      <c r="D488" s="216"/>
    </row>
    <row r="489" ht="15">
      <c r="D489" s="216"/>
    </row>
    <row r="490" ht="15">
      <c r="D490" s="216"/>
    </row>
    <row r="491" ht="15">
      <c r="D491" s="216"/>
    </row>
    <row r="492" ht="15">
      <c r="D492" s="216"/>
    </row>
    <row r="493" ht="15">
      <c r="D493" s="216"/>
    </row>
    <row r="494" ht="15">
      <c r="D494" s="216"/>
    </row>
    <row r="495" ht="15">
      <c r="D495" s="216"/>
    </row>
    <row r="496" ht="15">
      <c r="D496" s="216"/>
    </row>
    <row r="497" ht="15">
      <c r="D497" s="216"/>
    </row>
    <row r="498" ht="15">
      <c r="D498" s="216"/>
    </row>
    <row r="499" ht="15">
      <c r="D499" s="216"/>
    </row>
    <row r="500" ht="15">
      <c r="D500" s="216"/>
    </row>
    <row r="501" ht="15">
      <c r="D501" s="216"/>
    </row>
    <row r="502" ht="15">
      <c r="D502" s="216"/>
    </row>
    <row r="503" ht="15">
      <c r="D503" s="216"/>
    </row>
    <row r="504" ht="15">
      <c r="D504" s="216"/>
    </row>
    <row r="505" ht="15">
      <c r="D505" s="216"/>
    </row>
    <row r="506" ht="15">
      <c r="D506" s="216"/>
    </row>
    <row r="507" ht="15">
      <c r="D507" s="216"/>
    </row>
    <row r="508" ht="15">
      <c r="D508" s="216"/>
    </row>
    <row r="509" ht="15">
      <c r="D509" s="216"/>
    </row>
    <row r="510" ht="15">
      <c r="D510" s="216"/>
    </row>
    <row r="511" ht="15">
      <c r="D511" s="216"/>
    </row>
    <row r="512" ht="15">
      <c r="D512" s="216"/>
    </row>
    <row r="513" ht="15">
      <c r="D513" s="216"/>
    </row>
    <row r="514" ht="15">
      <c r="D514" s="216"/>
    </row>
    <row r="515" ht="15">
      <c r="D515" s="216"/>
    </row>
    <row r="516" ht="15">
      <c r="D516" s="216"/>
    </row>
    <row r="517" ht="15">
      <c r="D517" s="216"/>
    </row>
    <row r="518" ht="15">
      <c r="D518" s="216"/>
    </row>
    <row r="519" ht="15">
      <c r="D519" s="216"/>
    </row>
    <row r="520" ht="15">
      <c r="D520" s="216"/>
    </row>
    <row r="521" ht="15">
      <c r="D521" s="216"/>
    </row>
    <row r="522" ht="15">
      <c r="D522" s="216"/>
    </row>
    <row r="523" ht="15">
      <c r="D523" s="216"/>
    </row>
    <row r="524" ht="15">
      <c r="D524" s="216"/>
    </row>
    <row r="525" ht="15">
      <c r="D525" s="216"/>
    </row>
    <row r="526" ht="15">
      <c r="D526" s="216"/>
    </row>
    <row r="527" ht="15">
      <c r="D527" s="216"/>
    </row>
    <row r="528" ht="15">
      <c r="D528" s="216"/>
    </row>
    <row r="529" ht="15">
      <c r="D529" s="216"/>
    </row>
    <row r="530" ht="15">
      <c r="D530" s="216"/>
    </row>
    <row r="531" ht="15">
      <c r="D531" s="216"/>
    </row>
    <row r="532" ht="15">
      <c r="D532" s="216"/>
    </row>
    <row r="533" ht="15">
      <c r="D533" s="216"/>
    </row>
    <row r="534" ht="15">
      <c r="D534" s="216"/>
    </row>
    <row r="535" ht="15">
      <c r="D535" s="216"/>
    </row>
    <row r="536" ht="15">
      <c r="D536" s="216"/>
    </row>
    <row r="537" ht="15">
      <c r="D537" s="216"/>
    </row>
    <row r="538" ht="15">
      <c r="D538" s="216"/>
    </row>
    <row r="539" ht="15">
      <c r="D539" s="216"/>
    </row>
    <row r="540" ht="15">
      <c r="D540" s="216"/>
    </row>
    <row r="541" ht="15">
      <c r="D541" s="216"/>
    </row>
    <row r="542" ht="15">
      <c r="D542" s="216"/>
    </row>
    <row r="543" ht="15">
      <c r="D543" s="216"/>
    </row>
    <row r="544" ht="15">
      <c r="D544" s="216"/>
    </row>
    <row r="545" ht="15">
      <c r="D545" s="216"/>
    </row>
    <row r="546" ht="15">
      <c r="D546" s="216"/>
    </row>
    <row r="547" ht="15">
      <c r="D547" s="216"/>
    </row>
    <row r="548" ht="15">
      <c r="D548" s="216"/>
    </row>
    <row r="549" ht="15">
      <c r="D549" s="216"/>
    </row>
    <row r="550" ht="15">
      <c r="D550" s="216"/>
    </row>
    <row r="551" ht="15">
      <c r="D551" s="216"/>
    </row>
    <row r="552" ht="15">
      <c r="D552" s="216"/>
    </row>
    <row r="553" ht="15">
      <c r="D553" s="216"/>
    </row>
    <row r="554" ht="15">
      <c r="D554" s="216"/>
    </row>
    <row r="555" ht="15">
      <c r="D555" s="216"/>
    </row>
    <row r="556" ht="15">
      <c r="D556" s="216"/>
    </row>
    <row r="557" ht="15">
      <c r="D557" s="216"/>
    </row>
    <row r="558" ht="15">
      <c r="D558" s="216"/>
    </row>
    <row r="559" ht="15">
      <c r="D559" s="216"/>
    </row>
    <row r="560" ht="15">
      <c r="D560" s="216"/>
    </row>
    <row r="561" ht="15">
      <c r="D561" s="216"/>
    </row>
    <row r="562" ht="15">
      <c r="D562" s="216"/>
    </row>
    <row r="563" ht="15">
      <c r="D563" s="216"/>
    </row>
    <row r="564" ht="15">
      <c r="D564" s="216"/>
    </row>
    <row r="565" ht="15">
      <c r="D565" s="216"/>
    </row>
    <row r="566" ht="15">
      <c r="D566" s="216"/>
    </row>
    <row r="567" ht="15">
      <c r="D567" s="216"/>
    </row>
    <row r="568" ht="15">
      <c r="D568" s="216"/>
    </row>
    <row r="569" ht="15">
      <c r="D569" s="216"/>
    </row>
    <row r="570" ht="15">
      <c r="D570" s="216"/>
    </row>
    <row r="571" ht="15">
      <c r="D571" s="216"/>
    </row>
    <row r="572" ht="15">
      <c r="D572" s="216"/>
    </row>
    <row r="573" ht="15">
      <c r="D573" s="216"/>
    </row>
    <row r="574" ht="15">
      <c r="D574" s="216"/>
    </row>
    <row r="575" ht="15">
      <c r="D575" s="216"/>
    </row>
    <row r="576" ht="15">
      <c r="D576" s="216"/>
    </row>
    <row r="577" ht="15">
      <c r="D577" s="216"/>
    </row>
    <row r="578" ht="15">
      <c r="D578" s="216"/>
    </row>
    <row r="579" ht="15">
      <c r="D579" s="216"/>
    </row>
    <row r="580" ht="15">
      <c r="D580" s="216"/>
    </row>
    <row r="581" ht="15">
      <c r="D581" s="216"/>
    </row>
    <row r="582" ht="15">
      <c r="D582" s="216"/>
    </row>
    <row r="583" ht="15">
      <c r="D583" s="216"/>
    </row>
    <row r="584" ht="15">
      <c r="D584" s="216"/>
    </row>
    <row r="585" ht="15">
      <c r="D585" s="216"/>
    </row>
    <row r="586" ht="15">
      <c r="D586" s="216"/>
    </row>
    <row r="587" ht="15">
      <c r="D587" s="216"/>
    </row>
    <row r="588" ht="15">
      <c r="D588" s="216"/>
    </row>
    <row r="589" ht="15">
      <c r="D589" s="216"/>
    </row>
    <row r="590" ht="15">
      <c r="D590" s="216"/>
    </row>
    <row r="591" ht="15">
      <c r="D591" s="216"/>
    </row>
    <row r="592" ht="15">
      <c r="D592" s="216"/>
    </row>
    <row r="593" ht="15">
      <c r="D593" s="216"/>
    </row>
    <row r="594" ht="15">
      <c r="D594" s="216"/>
    </row>
    <row r="595" ht="15">
      <c r="D595" s="216"/>
    </row>
    <row r="596" ht="15">
      <c r="D596" s="216"/>
    </row>
    <row r="597" ht="15">
      <c r="D597" s="216"/>
    </row>
    <row r="598" ht="15">
      <c r="D598" s="216"/>
    </row>
    <row r="599" ht="15">
      <c r="D599" s="216"/>
    </row>
    <row r="600" ht="15">
      <c r="D600" s="216"/>
    </row>
    <row r="601" ht="15">
      <c r="D601" s="216"/>
    </row>
    <row r="602" ht="15">
      <c r="D602" s="216"/>
    </row>
    <row r="603" ht="15">
      <c r="D603" s="216"/>
    </row>
    <row r="604" ht="15">
      <c r="D604" s="216"/>
    </row>
    <row r="605" ht="15">
      <c r="D605" s="216"/>
    </row>
    <row r="606" ht="15">
      <c r="D606" s="216"/>
    </row>
    <row r="607" ht="15">
      <c r="D607" s="216"/>
    </row>
    <row r="608" ht="15">
      <c r="D608" s="216"/>
    </row>
    <row r="609" ht="15">
      <c r="D609" s="216"/>
    </row>
    <row r="610" ht="15">
      <c r="D610" s="216"/>
    </row>
    <row r="611" ht="15">
      <c r="D611" s="216"/>
    </row>
    <row r="612" ht="15">
      <c r="D612" s="216"/>
    </row>
    <row r="613" ht="15">
      <c r="D613" s="216"/>
    </row>
    <row r="614" ht="15">
      <c r="D614" s="216"/>
    </row>
    <row r="615" ht="15">
      <c r="D615" s="216"/>
    </row>
    <row r="616" ht="15">
      <c r="D616" s="216"/>
    </row>
    <row r="617" ht="15">
      <c r="D617" s="216"/>
    </row>
    <row r="618" ht="15">
      <c r="D618" s="216"/>
    </row>
    <row r="619" ht="15">
      <c r="D619" s="216"/>
    </row>
    <row r="620" ht="15">
      <c r="D620" s="216"/>
    </row>
    <row r="621" ht="15">
      <c r="D621" s="216"/>
    </row>
    <row r="622" ht="15">
      <c r="D622" s="216"/>
    </row>
    <row r="623" ht="15">
      <c r="D623" s="216"/>
    </row>
    <row r="624" ht="15">
      <c r="D624" s="216"/>
    </row>
    <row r="625" ht="15">
      <c r="D625" s="216"/>
    </row>
    <row r="626" ht="15">
      <c r="D626" s="216"/>
    </row>
    <row r="627" ht="15">
      <c r="D627" s="216"/>
    </row>
    <row r="628" ht="15">
      <c r="D628" s="216"/>
    </row>
    <row r="629" ht="15">
      <c r="D629" s="216"/>
    </row>
    <row r="630" ht="15">
      <c r="D630" s="216"/>
    </row>
    <row r="631" ht="15">
      <c r="D631" s="216"/>
    </row>
    <row r="632" ht="15">
      <c r="D632" s="216"/>
    </row>
    <row r="633" ht="15">
      <c r="D633" s="216"/>
    </row>
    <row r="634" ht="15">
      <c r="D634" s="216"/>
    </row>
    <row r="635" ht="15">
      <c r="D635" s="216"/>
    </row>
    <row r="636" ht="15">
      <c r="D636" s="216"/>
    </row>
    <row r="637" ht="15">
      <c r="D637" s="216"/>
    </row>
    <row r="638" ht="15">
      <c r="D638" s="216"/>
    </row>
    <row r="639" ht="15">
      <c r="D639" s="216"/>
    </row>
    <row r="640" ht="15">
      <c r="D640" s="216"/>
    </row>
    <row r="641" ht="15">
      <c r="D641" s="216"/>
    </row>
    <row r="642" ht="15">
      <c r="D642" s="216"/>
    </row>
    <row r="643" ht="15">
      <c r="D643" s="216"/>
    </row>
    <row r="644" ht="15">
      <c r="D644" s="216"/>
    </row>
    <row r="645" ht="15">
      <c r="D645" s="216"/>
    </row>
    <row r="646" ht="15">
      <c r="D646" s="216"/>
    </row>
    <row r="647" ht="15">
      <c r="D647" s="216"/>
    </row>
    <row r="648" ht="15">
      <c r="D648" s="216"/>
    </row>
    <row r="649" ht="15">
      <c r="D649" s="216"/>
    </row>
    <row r="650" ht="15">
      <c r="D650" s="216"/>
    </row>
    <row r="651" ht="15">
      <c r="D651" s="216"/>
    </row>
    <row r="652" ht="15">
      <c r="D652" s="216"/>
    </row>
    <row r="653" ht="15">
      <c r="D653" s="216"/>
    </row>
    <row r="654" ht="15">
      <c r="D654" s="216"/>
    </row>
    <row r="655" ht="15">
      <c r="D655" s="216"/>
    </row>
    <row r="656" ht="15">
      <c r="D656" s="216"/>
    </row>
    <row r="657" ht="15">
      <c r="D657" s="216"/>
    </row>
    <row r="658" ht="15">
      <c r="D658" s="216"/>
    </row>
    <row r="659" ht="15">
      <c r="D659" s="216"/>
    </row>
    <row r="660" ht="15">
      <c r="D660" s="216"/>
    </row>
    <row r="661" ht="15">
      <c r="D661" s="216"/>
    </row>
    <row r="662" ht="15">
      <c r="D662" s="216"/>
    </row>
    <row r="663" ht="15">
      <c r="D663" s="216"/>
    </row>
    <row r="664" ht="15">
      <c r="D664" s="216"/>
    </row>
    <row r="665" ht="15">
      <c r="D665" s="216"/>
    </row>
    <row r="666" ht="15">
      <c r="D666" s="216"/>
    </row>
    <row r="667" ht="15">
      <c r="D667" s="216"/>
    </row>
    <row r="668" ht="15">
      <c r="D668" s="216"/>
    </row>
    <row r="669" ht="15">
      <c r="D669" s="216"/>
    </row>
    <row r="670" ht="15">
      <c r="D670" s="216"/>
    </row>
    <row r="671" ht="15">
      <c r="D671" s="216"/>
    </row>
    <row r="672" ht="15">
      <c r="D672" s="216"/>
    </row>
    <row r="673" ht="15">
      <c r="D673" s="216"/>
    </row>
    <row r="674" ht="15">
      <c r="D674" s="216"/>
    </row>
    <row r="675" ht="15">
      <c r="D675" s="216"/>
    </row>
    <row r="676" ht="15">
      <c r="D676" s="216"/>
    </row>
    <row r="677" ht="15">
      <c r="D677" s="216"/>
    </row>
    <row r="678" ht="15">
      <c r="D678" s="216"/>
    </row>
    <row r="679" ht="15">
      <c r="D679" s="216"/>
    </row>
    <row r="680" ht="15">
      <c r="D680" s="216"/>
    </row>
    <row r="681" ht="15">
      <c r="D681" s="216"/>
    </row>
    <row r="682" ht="15">
      <c r="D682" s="216"/>
    </row>
    <row r="683" ht="15">
      <c r="D683" s="216"/>
    </row>
    <row r="684" ht="15">
      <c r="D684" s="216"/>
    </row>
    <row r="685" ht="15">
      <c r="D685" s="216"/>
    </row>
    <row r="686" ht="15">
      <c r="D686" s="216"/>
    </row>
    <row r="687" ht="15">
      <c r="D687" s="216"/>
    </row>
    <row r="688" ht="15">
      <c r="D688" s="216"/>
    </row>
    <row r="689" ht="15">
      <c r="D689" s="216"/>
    </row>
    <row r="690" ht="15">
      <c r="D690" s="216"/>
    </row>
    <row r="691" ht="15">
      <c r="D691" s="216"/>
    </row>
    <row r="692" ht="15">
      <c r="D692" s="216"/>
    </row>
    <row r="693" ht="15">
      <c r="D693" s="216"/>
    </row>
    <row r="694" ht="15">
      <c r="D694" s="216"/>
    </row>
    <row r="695" ht="15">
      <c r="D695" s="216"/>
    </row>
    <row r="696" ht="15">
      <c r="D696" s="216"/>
    </row>
    <row r="697" ht="15">
      <c r="D697" s="216"/>
    </row>
    <row r="698" ht="15">
      <c r="D698" s="216"/>
    </row>
    <row r="699" ht="15">
      <c r="D699" s="216"/>
    </row>
    <row r="700" ht="15">
      <c r="D700" s="216"/>
    </row>
    <row r="701" ht="15">
      <c r="D701" s="216"/>
    </row>
    <row r="702" ht="15">
      <c r="D702" s="216"/>
    </row>
    <row r="703" ht="15">
      <c r="D703" s="216"/>
    </row>
    <row r="704" ht="15">
      <c r="D704" s="216"/>
    </row>
    <row r="705" ht="15">
      <c r="D705" s="216"/>
    </row>
    <row r="706" ht="15">
      <c r="D706" s="216"/>
    </row>
    <row r="707" ht="15">
      <c r="D707" s="216"/>
    </row>
    <row r="708" ht="15">
      <c r="D708" s="216"/>
    </row>
    <row r="709" ht="15">
      <c r="D709" s="216"/>
    </row>
    <row r="710" ht="15">
      <c r="D710" s="216"/>
    </row>
    <row r="711" ht="15">
      <c r="D711" s="216"/>
    </row>
    <row r="712" ht="15">
      <c r="D712" s="216"/>
    </row>
    <row r="713" ht="15">
      <c r="D713" s="216"/>
    </row>
    <row r="714" ht="15">
      <c r="D714" s="216"/>
    </row>
    <row r="715" ht="15">
      <c r="D715" s="216"/>
    </row>
    <row r="716" ht="15">
      <c r="D716" s="216"/>
    </row>
    <row r="717" ht="15">
      <c r="D717" s="216"/>
    </row>
    <row r="718" ht="15">
      <c r="D718" s="216"/>
    </row>
    <row r="719" ht="15">
      <c r="D719" s="216"/>
    </row>
    <row r="720" ht="15">
      <c r="D720" s="216"/>
    </row>
    <row r="721" ht="15">
      <c r="D721" s="216"/>
    </row>
    <row r="722" ht="15">
      <c r="D722" s="216"/>
    </row>
    <row r="723" ht="15">
      <c r="D723" s="216"/>
    </row>
    <row r="724" ht="15">
      <c r="D724" s="216"/>
    </row>
    <row r="725" ht="15">
      <c r="D725" s="216"/>
    </row>
    <row r="726" ht="15">
      <c r="D726" s="216"/>
    </row>
    <row r="727" ht="15">
      <c r="D727" s="216"/>
    </row>
    <row r="728" ht="15">
      <c r="D728" s="216"/>
    </row>
    <row r="729" ht="15">
      <c r="D729" s="216"/>
    </row>
    <row r="730" ht="15">
      <c r="D730" s="216"/>
    </row>
    <row r="731" ht="15">
      <c r="D731" s="216"/>
    </row>
    <row r="732" ht="15">
      <c r="D732" s="216"/>
    </row>
    <row r="733" ht="15">
      <c r="D733" s="216"/>
    </row>
    <row r="734" ht="15">
      <c r="D734" s="216"/>
    </row>
    <row r="735" ht="15">
      <c r="D735" s="216"/>
    </row>
    <row r="736" ht="15">
      <c r="D736" s="216"/>
    </row>
    <row r="737" ht="15">
      <c r="D737" s="216"/>
    </row>
    <row r="738" ht="15">
      <c r="D738" s="216"/>
    </row>
    <row r="739" ht="15">
      <c r="D739" s="216"/>
    </row>
    <row r="740" ht="15">
      <c r="D740" s="216"/>
    </row>
    <row r="741" ht="15">
      <c r="D741" s="216"/>
    </row>
    <row r="742" ht="15">
      <c r="D742" s="216"/>
    </row>
    <row r="743" ht="15">
      <c r="D743" s="216"/>
    </row>
    <row r="744" ht="15">
      <c r="D744" s="216"/>
    </row>
    <row r="745" ht="15">
      <c r="D745" s="216"/>
    </row>
    <row r="746" ht="15">
      <c r="D746" s="216"/>
    </row>
    <row r="747" ht="15">
      <c r="D747" s="216"/>
    </row>
    <row r="748" ht="15">
      <c r="D748" s="216"/>
    </row>
    <row r="749" ht="15">
      <c r="D749" s="216"/>
    </row>
    <row r="750" ht="15">
      <c r="D750" s="216"/>
    </row>
    <row r="751" ht="15">
      <c r="D751" s="216"/>
    </row>
    <row r="752" ht="15">
      <c r="D752" s="216"/>
    </row>
    <row r="753" ht="15">
      <c r="D753" s="216"/>
    </row>
    <row r="754" ht="15">
      <c r="D754" s="216"/>
    </row>
    <row r="755" ht="15">
      <c r="D755" s="216"/>
    </row>
    <row r="756" ht="15">
      <c r="D756" s="216"/>
    </row>
    <row r="757" ht="15">
      <c r="D757" s="216"/>
    </row>
    <row r="758" ht="15">
      <c r="D758" s="216"/>
    </row>
    <row r="759" ht="15">
      <c r="D759" s="216"/>
    </row>
    <row r="760" ht="15">
      <c r="D760" s="216"/>
    </row>
    <row r="761" ht="15">
      <c r="D761" s="216"/>
    </row>
    <row r="762" ht="15">
      <c r="D762" s="216"/>
    </row>
    <row r="763" ht="15">
      <c r="D763" s="216"/>
    </row>
    <row r="764" ht="15">
      <c r="D764" s="216"/>
    </row>
    <row r="765" ht="15">
      <c r="D765" s="216"/>
    </row>
    <row r="766" ht="15">
      <c r="D766" s="216"/>
    </row>
    <row r="767" ht="15">
      <c r="D767" s="216"/>
    </row>
    <row r="768" ht="15">
      <c r="D768" s="216"/>
    </row>
    <row r="769" ht="15">
      <c r="D769" s="216"/>
    </row>
    <row r="770" ht="15">
      <c r="D770" s="216"/>
    </row>
    <row r="771" ht="15">
      <c r="D771" s="216"/>
    </row>
    <row r="772" ht="15">
      <c r="D772" s="216"/>
    </row>
    <row r="773" ht="15">
      <c r="D773" s="216"/>
    </row>
    <row r="774" ht="15">
      <c r="D774" s="216"/>
    </row>
    <row r="775" ht="15">
      <c r="D775" s="216"/>
    </row>
    <row r="776" ht="15">
      <c r="D776" s="216"/>
    </row>
    <row r="777" ht="15">
      <c r="D777" s="216"/>
    </row>
    <row r="778" ht="15">
      <c r="D778" s="216"/>
    </row>
    <row r="779" ht="15">
      <c r="D779" s="216"/>
    </row>
    <row r="780" ht="15">
      <c r="D780" s="216"/>
    </row>
    <row r="781" ht="15">
      <c r="D781" s="216"/>
    </row>
    <row r="782" ht="15">
      <c r="D782" s="216"/>
    </row>
    <row r="783" ht="15">
      <c r="D783" s="216"/>
    </row>
    <row r="784" ht="15">
      <c r="D784" s="216"/>
    </row>
    <row r="785" ht="15">
      <c r="D785" s="216"/>
    </row>
    <row r="786" ht="15">
      <c r="D786" s="216"/>
    </row>
    <row r="787" ht="15">
      <c r="D787" s="216"/>
    </row>
    <row r="788" ht="15">
      <c r="D788" s="216"/>
    </row>
    <row r="789" ht="15">
      <c r="D789" s="216"/>
    </row>
    <row r="790" ht="15">
      <c r="D790" s="216"/>
    </row>
    <row r="791" ht="15">
      <c r="D791" s="216"/>
    </row>
    <row r="792" ht="15">
      <c r="D792" s="216"/>
    </row>
    <row r="793" ht="15">
      <c r="D793" s="216"/>
    </row>
    <row r="794" ht="15">
      <c r="D794" s="216"/>
    </row>
    <row r="795" ht="15">
      <c r="D795" s="216"/>
    </row>
    <row r="796" ht="15">
      <c r="D796" s="216"/>
    </row>
    <row r="797" ht="15">
      <c r="D797" s="216"/>
    </row>
    <row r="798" ht="15">
      <c r="D798" s="216"/>
    </row>
    <row r="799" ht="15">
      <c r="D799" s="216"/>
    </row>
    <row r="800" ht="15">
      <c r="D800" s="216"/>
    </row>
    <row r="801" ht="15">
      <c r="D801" s="216"/>
    </row>
    <row r="802" ht="15">
      <c r="D802" s="216"/>
    </row>
    <row r="803" ht="15">
      <c r="D803" s="216"/>
    </row>
    <row r="804" ht="15">
      <c r="D804" s="216"/>
    </row>
    <row r="805" ht="15">
      <c r="D805" s="216"/>
    </row>
    <row r="806" ht="15">
      <c r="D806" s="216"/>
    </row>
    <row r="807" ht="15">
      <c r="D807" s="216"/>
    </row>
    <row r="808" ht="15">
      <c r="D808" s="216"/>
    </row>
    <row r="809" ht="15">
      <c r="D809" s="216"/>
    </row>
    <row r="810" ht="15">
      <c r="D810" s="216"/>
    </row>
    <row r="811" ht="15">
      <c r="D811" s="216"/>
    </row>
    <row r="812" ht="15">
      <c r="D812" s="216"/>
    </row>
    <row r="813" ht="15">
      <c r="D813" s="216"/>
    </row>
    <row r="814" ht="15">
      <c r="D814" s="216"/>
    </row>
    <row r="815" ht="15">
      <c r="D815" s="216"/>
    </row>
    <row r="816" ht="15">
      <c r="D816" s="216"/>
    </row>
    <row r="817" ht="15">
      <c r="D817" s="216"/>
    </row>
    <row r="818" ht="15">
      <c r="D818" s="216"/>
    </row>
    <row r="819" ht="15">
      <c r="D819" s="216"/>
    </row>
    <row r="820" ht="15">
      <c r="D820" s="216"/>
    </row>
    <row r="821" ht="15">
      <c r="D821" s="216"/>
    </row>
    <row r="822" ht="15">
      <c r="D822" s="216"/>
    </row>
    <row r="823" ht="15">
      <c r="D823" s="216"/>
    </row>
    <row r="824" ht="15">
      <c r="D824" s="216"/>
    </row>
    <row r="825" ht="15">
      <c r="D825" s="216"/>
    </row>
    <row r="826" ht="15">
      <c r="D826" s="216"/>
    </row>
    <row r="827" ht="15">
      <c r="D827" s="216"/>
    </row>
    <row r="828" ht="15">
      <c r="D828" s="216"/>
    </row>
    <row r="829" ht="15">
      <c r="D829" s="216"/>
    </row>
    <row r="830" ht="15">
      <c r="D830" s="216"/>
    </row>
    <row r="831" ht="15">
      <c r="D831" s="216"/>
    </row>
    <row r="832" ht="15">
      <c r="D832" s="216"/>
    </row>
    <row r="833" ht="15">
      <c r="D833" s="216"/>
    </row>
    <row r="834" ht="15">
      <c r="D834" s="216"/>
    </row>
    <row r="835" ht="15">
      <c r="D835" s="216"/>
    </row>
    <row r="836" ht="15">
      <c r="D836" s="216"/>
    </row>
    <row r="837" ht="15">
      <c r="D837" s="216"/>
    </row>
    <row r="838" ht="15">
      <c r="D838" s="216"/>
    </row>
    <row r="839" ht="15">
      <c r="D839" s="216"/>
    </row>
    <row r="840" ht="15">
      <c r="D840" s="216"/>
    </row>
    <row r="841" ht="15">
      <c r="D841" s="216"/>
    </row>
    <row r="842" ht="15">
      <c r="D842" s="216"/>
    </row>
    <row r="843" ht="15">
      <c r="D843" s="216"/>
    </row>
    <row r="844" ht="15">
      <c r="D844" s="216"/>
    </row>
    <row r="845" ht="15">
      <c r="D845" s="216"/>
    </row>
    <row r="846" ht="15">
      <c r="D846" s="216"/>
    </row>
    <row r="847" ht="15">
      <c r="D847" s="216"/>
    </row>
    <row r="848" ht="15">
      <c r="D848" s="216"/>
    </row>
    <row r="849" ht="15">
      <c r="D849" s="216"/>
    </row>
    <row r="850" ht="15">
      <c r="D850" s="216"/>
    </row>
    <row r="851" ht="15">
      <c r="D851" s="216"/>
    </row>
    <row r="852" ht="15">
      <c r="D852" s="216"/>
    </row>
    <row r="853" ht="15">
      <c r="D853" s="216"/>
    </row>
    <row r="854" ht="15">
      <c r="D854" s="216"/>
    </row>
    <row r="855" ht="15">
      <c r="D855" s="216"/>
    </row>
    <row r="856" ht="15">
      <c r="D856" s="216"/>
    </row>
    <row r="857" ht="15">
      <c r="D857" s="216"/>
    </row>
    <row r="858" ht="15">
      <c r="D858" s="216"/>
    </row>
    <row r="859" ht="15">
      <c r="D859" s="216"/>
    </row>
    <row r="860" ht="15">
      <c r="D860" s="216"/>
    </row>
    <row r="861" ht="15">
      <c r="D861" s="216"/>
    </row>
    <row r="862" ht="15">
      <c r="D862" s="216"/>
    </row>
    <row r="863" ht="15">
      <c r="D863" s="216"/>
    </row>
    <row r="864" ht="15">
      <c r="D864" s="216"/>
    </row>
    <row r="865" ht="15">
      <c r="D865" s="216"/>
    </row>
    <row r="866" ht="15">
      <c r="D866" s="216"/>
    </row>
    <row r="867" ht="15">
      <c r="D867" s="216"/>
    </row>
    <row r="868" ht="15">
      <c r="D868" s="216"/>
    </row>
    <row r="869" ht="15">
      <c r="D869" s="216"/>
    </row>
    <row r="870" ht="15">
      <c r="D870" s="216"/>
    </row>
    <row r="871" ht="15">
      <c r="D871" s="216"/>
    </row>
    <row r="872" ht="15">
      <c r="D872" s="216"/>
    </row>
    <row r="873" ht="15">
      <c r="D873" s="216"/>
    </row>
    <row r="874" ht="15">
      <c r="D874" s="216"/>
    </row>
    <row r="875" ht="15">
      <c r="D875" s="216"/>
    </row>
    <row r="876" ht="15">
      <c r="D876" s="216"/>
    </row>
    <row r="877" ht="15">
      <c r="D877" s="216"/>
    </row>
    <row r="878" ht="15">
      <c r="D878" s="216"/>
    </row>
    <row r="879" ht="15">
      <c r="D879" s="216"/>
    </row>
    <row r="880" ht="15">
      <c r="D880" s="216"/>
    </row>
    <row r="881" ht="15">
      <c r="D881" s="216"/>
    </row>
    <row r="882" ht="15">
      <c r="D882" s="216"/>
    </row>
    <row r="883" ht="15">
      <c r="D883" s="216"/>
    </row>
    <row r="884" ht="15">
      <c r="D884" s="216"/>
    </row>
    <row r="885" ht="15">
      <c r="D885" s="216"/>
    </row>
    <row r="886" ht="15">
      <c r="D886" s="216"/>
    </row>
    <row r="887" ht="15">
      <c r="D887" s="216"/>
    </row>
    <row r="888" ht="15">
      <c r="D888" s="216"/>
    </row>
    <row r="889" ht="15">
      <c r="D889" s="216"/>
    </row>
    <row r="890" ht="15">
      <c r="D890" s="216"/>
    </row>
    <row r="891" ht="15">
      <c r="D891" s="216"/>
    </row>
    <row r="892" ht="15">
      <c r="D892" s="216"/>
    </row>
    <row r="893" ht="15">
      <c r="D893" s="216"/>
    </row>
    <row r="894" ht="15">
      <c r="D894" s="216"/>
    </row>
    <row r="895" ht="15">
      <c r="D895" s="216"/>
    </row>
    <row r="896" ht="15">
      <c r="D896" s="216"/>
    </row>
    <row r="897" ht="15">
      <c r="D897" s="216"/>
    </row>
    <row r="898" ht="15">
      <c r="D898" s="216"/>
    </row>
    <row r="899" ht="15">
      <c r="D899" s="216"/>
    </row>
    <row r="900" ht="15">
      <c r="D900" s="216"/>
    </row>
    <row r="901" ht="15">
      <c r="D901" s="216"/>
    </row>
    <row r="902" ht="15">
      <c r="D902" s="216"/>
    </row>
    <row r="903" ht="15">
      <c r="D903" s="216"/>
    </row>
    <row r="904" ht="15">
      <c r="D904" s="216"/>
    </row>
    <row r="905" ht="15">
      <c r="D905" s="216"/>
    </row>
    <row r="906" ht="15">
      <c r="D906" s="216"/>
    </row>
    <row r="907" ht="15">
      <c r="D907" s="216"/>
    </row>
    <row r="908" ht="15">
      <c r="D908" s="216"/>
    </row>
    <row r="909" ht="15">
      <c r="D909" s="216"/>
    </row>
    <row r="910" ht="15">
      <c r="D910" s="216"/>
    </row>
    <row r="911" ht="15">
      <c r="D911" s="216"/>
    </row>
    <row r="912" ht="15">
      <c r="D912" s="216"/>
    </row>
    <row r="913" ht="15">
      <c r="D913" s="216"/>
    </row>
    <row r="914" ht="15">
      <c r="D914" s="216"/>
    </row>
    <row r="915" ht="15">
      <c r="D915" s="216"/>
    </row>
    <row r="916" ht="15">
      <c r="D916" s="216"/>
    </row>
    <row r="917" ht="15">
      <c r="D917" s="216"/>
    </row>
    <row r="918" ht="15">
      <c r="D918" s="216"/>
    </row>
    <row r="919" ht="15">
      <c r="D919" s="216"/>
    </row>
    <row r="920" ht="15">
      <c r="D920" s="216"/>
    </row>
    <row r="921" ht="15">
      <c r="D921" s="216"/>
    </row>
    <row r="922" ht="15">
      <c r="D922" s="216"/>
    </row>
    <row r="923" ht="15">
      <c r="D923" s="216"/>
    </row>
    <row r="924" ht="15">
      <c r="D924" s="216"/>
    </row>
    <row r="925" ht="15">
      <c r="D925" s="216"/>
    </row>
    <row r="926" ht="15">
      <c r="D926" s="216"/>
    </row>
    <row r="927" ht="15">
      <c r="D927" s="216"/>
    </row>
    <row r="928" ht="15">
      <c r="D928" s="216"/>
    </row>
    <row r="929" ht="15">
      <c r="D929" s="216"/>
    </row>
    <row r="930" ht="15">
      <c r="D930" s="216"/>
    </row>
    <row r="931" ht="15">
      <c r="D931" s="216"/>
    </row>
    <row r="932" ht="15">
      <c r="D932" s="216"/>
    </row>
    <row r="933" ht="15">
      <c r="D933" s="216"/>
    </row>
    <row r="934" ht="15">
      <c r="D934" s="216"/>
    </row>
    <row r="935" ht="15">
      <c r="D935" s="216"/>
    </row>
    <row r="936" ht="15">
      <c r="D936" s="216"/>
    </row>
    <row r="937" ht="15">
      <c r="D937" s="216"/>
    </row>
    <row r="938" ht="15">
      <c r="D938" s="216"/>
    </row>
    <row r="939" ht="15">
      <c r="D939" s="216"/>
    </row>
    <row r="940" ht="15">
      <c r="D940" s="216"/>
    </row>
    <row r="941" ht="15">
      <c r="D941" s="216"/>
    </row>
    <row r="942" ht="15">
      <c r="D942" s="216"/>
    </row>
    <row r="943" ht="15">
      <c r="D943" s="216"/>
    </row>
    <row r="944" ht="15">
      <c r="D944" s="216"/>
    </row>
    <row r="945" ht="15">
      <c r="D945" s="216"/>
    </row>
    <row r="946" ht="15">
      <c r="D946" s="216"/>
    </row>
    <row r="947" ht="15">
      <c r="D947" s="216"/>
    </row>
    <row r="948" ht="15">
      <c r="D948" s="216"/>
    </row>
    <row r="949" ht="15">
      <c r="D949" s="216"/>
    </row>
    <row r="950" ht="15">
      <c r="D950" s="216"/>
    </row>
    <row r="951" ht="15">
      <c r="D951" s="216"/>
    </row>
    <row r="952" ht="15">
      <c r="D952" s="216"/>
    </row>
    <row r="953" ht="15">
      <c r="D953" s="216"/>
    </row>
    <row r="954" ht="15">
      <c r="D954" s="216"/>
    </row>
    <row r="955" ht="15">
      <c r="D955" s="216"/>
    </row>
    <row r="956" ht="15">
      <c r="D956" s="216"/>
    </row>
    <row r="957" ht="15">
      <c r="D957" s="216"/>
    </row>
    <row r="958" ht="15">
      <c r="D958" s="216"/>
    </row>
    <row r="959" ht="15">
      <c r="D959" s="216"/>
    </row>
    <row r="960" ht="15">
      <c r="D960" s="216"/>
    </row>
    <row r="961" ht="15">
      <c r="D961" s="216"/>
    </row>
    <row r="962" ht="15">
      <c r="D962" s="216"/>
    </row>
    <row r="963" ht="15">
      <c r="D963" s="216"/>
    </row>
    <row r="964" ht="15">
      <c r="D964" s="216"/>
    </row>
    <row r="965" ht="15">
      <c r="D965" s="216"/>
    </row>
    <row r="966" ht="15">
      <c r="D966" s="216"/>
    </row>
    <row r="967" ht="15">
      <c r="D967" s="216"/>
    </row>
    <row r="968" ht="15">
      <c r="D968" s="216"/>
    </row>
    <row r="969" ht="15">
      <c r="D969" s="216"/>
    </row>
    <row r="970" ht="15">
      <c r="D970" s="216"/>
    </row>
    <row r="971" ht="15">
      <c r="D971" s="216"/>
    </row>
    <row r="972" ht="15">
      <c r="D972" s="216"/>
    </row>
    <row r="973" ht="15">
      <c r="D973" s="216"/>
    </row>
    <row r="974" ht="15">
      <c r="D974" s="216"/>
    </row>
    <row r="975" ht="15">
      <c r="D975" s="216"/>
    </row>
    <row r="976" ht="15">
      <c r="D976" s="216"/>
    </row>
    <row r="977" ht="15">
      <c r="D977" s="216"/>
    </row>
    <row r="978" ht="15">
      <c r="D978" s="216"/>
    </row>
    <row r="979" ht="15">
      <c r="D979" s="216"/>
    </row>
    <row r="980" ht="15">
      <c r="D980" s="216"/>
    </row>
    <row r="981" ht="15">
      <c r="D981" s="216"/>
    </row>
    <row r="982" ht="15">
      <c r="D982" s="216"/>
    </row>
    <row r="983" ht="15">
      <c r="D983" s="216"/>
    </row>
    <row r="984" ht="15">
      <c r="D984" s="216"/>
    </row>
    <row r="985" ht="15">
      <c r="D985" s="216"/>
    </row>
    <row r="986" ht="15">
      <c r="D986" s="216"/>
    </row>
    <row r="987" ht="15">
      <c r="D987" s="216"/>
    </row>
    <row r="988" ht="15">
      <c r="D988" s="216"/>
    </row>
    <row r="989" ht="15">
      <c r="D989" s="216"/>
    </row>
    <row r="990" ht="15">
      <c r="D990" s="216"/>
    </row>
    <row r="991" ht="15">
      <c r="D991" s="216"/>
    </row>
    <row r="992" ht="15">
      <c r="D992" s="216"/>
    </row>
    <row r="993" ht="15">
      <c r="D993" s="216"/>
    </row>
    <row r="994" ht="15">
      <c r="D994" s="216"/>
    </row>
    <row r="995" ht="15">
      <c r="D995" s="216"/>
    </row>
    <row r="996" ht="15">
      <c r="D996" s="216"/>
    </row>
    <row r="997" ht="15">
      <c r="D997" s="216"/>
    </row>
    <row r="998" ht="15">
      <c r="D998" s="216"/>
    </row>
    <row r="999" ht="15">
      <c r="D999" s="216"/>
    </row>
    <row r="1000" ht="15">
      <c r="D1000" s="216"/>
    </row>
    <row r="1001" ht="15">
      <c r="D1001" s="216"/>
    </row>
    <row r="1002" ht="15">
      <c r="D1002" s="216"/>
    </row>
    <row r="1003" ht="15">
      <c r="D1003" s="216"/>
    </row>
    <row r="1004" ht="15">
      <c r="D1004" s="216"/>
    </row>
    <row r="1005" ht="15">
      <c r="D1005" s="216"/>
    </row>
    <row r="1006" ht="15">
      <c r="D1006" s="216"/>
    </row>
    <row r="1007" ht="15">
      <c r="D1007" s="216"/>
    </row>
    <row r="1008" ht="15">
      <c r="D1008" s="216"/>
    </row>
    <row r="1009" ht="15">
      <c r="D1009" s="216"/>
    </row>
    <row r="1010" ht="15">
      <c r="D1010" s="216"/>
    </row>
    <row r="1011" ht="15">
      <c r="D1011" s="216"/>
    </row>
    <row r="1012" ht="15">
      <c r="D1012" s="216"/>
    </row>
    <row r="1013" ht="15">
      <c r="D1013" s="216"/>
    </row>
    <row r="1014" ht="15">
      <c r="D1014" s="216"/>
    </row>
    <row r="1015" ht="15">
      <c r="D1015" s="216"/>
    </row>
    <row r="1016" ht="15">
      <c r="D1016" s="216"/>
    </row>
    <row r="1017" ht="15">
      <c r="D1017" s="216"/>
    </row>
    <row r="1018" ht="15">
      <c r="D1018" s="216"/>
    </row>
    <row r="1019" ht="15">
      <c r="D1019" s="216"/>
    </row>
    <row r="1020" ht="15">
      <c r="D1020" s="216"/>
    </row>
    <row r="1021" ht="15">
      <c r="D1021" s="216"/>
    </row>
    <row r="1022" ht="15">
      <c r="D1022" s="216"/>
    </row>
    <row r="1023" ht="15">
      <c r="D1023" s="216"/>
    </row>
    <row r="1024" ht="15">
      <c r="D1024" s="216"/>
    </row>
    <row r="1025" ht="15">
      <c r="D1025" s="216"/>
    </row>
    <row r="1026" ht="15">
      <c r="D1026" s="216"/>
    </row>
    <row r="1027" ht="15">
      <c r="D1027" s="216"/>
    </row>
    <row r="1028" ht="15">
      <c r="D1028" s="216"/>
    </row>
    <row r="1029" ht="15">
      <c r="D1029" s="216"/>
    </row>
    <row r="1030" ht="15">
      <c r="D1030" s="216"/>
    </row>
    <row r="1031" ht="15">
      <c r="D1031" s="216"/>
    </row>
    <row r="1032" ht="15">
      <c r="D1032" s="216"/>
    </row>
    <row r="1033" ht="15">
      <c r="D1033" s="216"/>
    </row>
    <row r="1034" ht="15">
      <c r="D1034" s="216"/>
    </row>
    <row r="1035" ht="15">
      <c r="D1035" s="216"/>
    </row>
    <row r="1036" ht="15">
      <c r="D1036" s="216"/>
    </row>
    <row r="1037" ht="15">
      <c r="D1037" s="216"/>
    </row>
    <row r="1038" ht="15">
      <c r="D1038" s="216"/>
    </row>
    <row r="1039" ht="15">
      <c r="D1039" s="216"/>
    </row>
    <row r="1040" ht="15">
      <c r="D1040" s="216"/>
    </row>
    <row r="1041" ht="15">
      <c r="D1041" s="216"/>
    </row>
    <row r="1042" ht="15">
      <c r="D1042" s="216"/>
    </row>
    <row r="1043" ht="15">
      <c r="D1043" s="216"/>
    </row>
    <row r="1044" ht="15">
      <c r="D1044" s="216"/>
    </row>
    <row r="1045" ht="15">
      <c r="D1045" s="216"/>
    </row>
    <row r="1046" ht="15">
      <c r="D1046" s="216"/>
    </row>
    <row r="1047" ht="15">
      <c r="D1047" s="216"/>
    </row>
    <row r="1048" ht="15">
      <c r="D1048" s="216"/>
    </row>
    <row r="1049" ht="15">
      <c r="D1049" s="216"/>
    </row>
    <row r="1050" ht="15">
      <c r="D1050" s="216"/>
    </row>
    <row r="1051" ht="15">
      <c r="D1051" s="216"/>
    </row>
    <row r="1052" ht="15">
      <c r="D1052" s="216"/>
    </row>
    <row r="1053" ht="15">
      <c r="D1053" s="216"/>
    </row>
    <row r="1054" ht="15">
      <c r="D1054" s="216"/>
    </row>
    <row r="1055" ht="15">
      <c r="D1055" s="216"/>
    </row>
    <row r="1056" ht="15">
      <c r="D1056" s="216"/>
    </row>
    <row r="1057" ht="15">
      <c r="D1057" s="216"/>
    </row>
    <row r="1058" ht="15">
      <c r="D1058" s="216"/>
    </row>
    <row r="1059" ht="15">
      <c r="D1059" s="216"/>
    </row>
    <row r="1060" ht="15">
      <c r="D1060" s="216"/>
    </row>
    <row r="1061" ht="15">
      <c r="D1061" s="216"/>
    </row>
    <row r="1062" ht="15">
      <c r="D1062" s="216"/>
    </row>
    <row r="1063" ht="15">
      <c r="D1063" s="216"/>
    </row>
    <row r="1064" ht="15">
      <c r="D1064" s="216"/>
    </row>
    <row r="1065" ht="15">
      <c r="D1065" s="216"/>
    </row>
    <row r="1066" ht="15">
      <c r="D1066" s="216"/>
    </row>
    <row r="1067" ht="15">
      <c r="D1067" s="216"/>
    </row>
    <row r="1068" ht="15">
      <c r="D1068" s="216"/>
    </row>
    <row r="1069" ht="15">
      <c r="D1069" s="216"/>
    </row>
    <row r="1070" ht="15">
      <c r="D1070" s="216"/>
    </row>
    <row r="1071" ht="15">
      <c r="D1071" s="216"/>
    </row>
    <row r="1072" ht="15">
      <c r="D1072" s="216"/>
    </row>
    <row r="1073" ht="15">
      <c r="D1073" s="216"/>
    </row>
    <row r="1074" ht="15">
      <c r="D1074" s="216"/>
    </row>
    <row r="1075" ht="15">
      <c r="D1075" s="216"/>
    </row>
    <row r="1076" ht="15">
      <c r="D1076" s="216"/>
    </row>
    <row r="1077" ht="15">
      <c r="D1077" s="216"/>
    </row>
    <row r="1078" ht="15">
      <c r="D1078" s="216"/>
    </row>
    <row r="1079" ht="15">
      <c r="D1079" s="216"/>
    </row>
    <row r="1080" ht="15">
      <c r="D1080" s="216"/>
    </row>
    <row r="1081" ht="15">
      <c r="D1081" s="216"/>
    </row>
    <row r="1082" ht="15">
      <c r="D1082" s="216"/>
    </row>
    <row r="1083" ht="15">
      <c r="D1083" s="216"/>
    </row>
    <row r="1084" ht="15">
      <c r="D1084" s="216"/>
    </row>
    <row r="1085" ht="15">
      <c r="D1085" s="216"/>
    </row>
    <row r="1086" ht="15">
      <c r="D1086" s="216"/>
    </row>
    <row r="1087" ht="15">
      <c r="D1087" s="216"/>
    </row>
    <row r="1088" ht="15">
      <c r="D1088" s="216"/>
    </row>
    <row r="1089" ht="15">
      <c r="D1089" s="216"/>
    </row>
    <row r="1090" ht="15">
      <c r="D1090" s="216"/>
    </row>
    <row r="1091" ht="15">
      <c r="D1091" s="216"/>
    </row>
    <row r="1092" ht="15">
      <c r="D1092" s="216"/>
    </row>
    <row r="1093" ht="15">
      <c r="D1093" s="216"/>
    </row>
    <row r="1094" ht="15">
      <c r="D1094" s="216"/>
    </row>
    <row r="1095" ht="15">
      <c r="D1095" s="216"/>
    </row>
    <row r="1096" ht="15">
      <c r="D1096" s="216"/>
    </row>
    <row r="1097" ht="15">
      <c r="D1097" s="216"/>
    </row>
    <row r="1098" ht="15">
      <c r="D1098" s="216"/>
    </row>
    <row r="1099" ht="15">
      <c r="D1099" s="216"/>
    </row>
    <row r="1100" ht="15">
      <c r="D1100" s="216"/>
    </row>
    <row r="1101" ht="15">
      <c r="D1101" s="216"/>
    </row>
    <row r="1102" ht="15">
      <c r="D1102" s="216"/>
    </row>
    <row r="1103" ht="15">
      <c r="D1103" s="216"/>
    </row>
    <row r="1104" ht="15">
      <c r="D1104" s="216"/>
    </row>
    <row r="1105" ht="15">
      <c r="D1105" s="216"/>
    </row>
    <row r="1106" ht="15">
      <c r="D1106" s="216"/>
    </row>
    <row r="1107" ht="15">
      <c r="D1107" s="216"/>
    </row>
    <row r="1108" ht="15">
      <c r="D1108" s="216"/>
    </row>
    <row r="1109" ht="15">
      <c r="D1109" s="216"/>
    </row>
    <row r="1110" ht="15">
      <c r="D1110" s="216"/>
    </row>
    <row r="1111" ht="15">
      <c r="D1111" s="216"/>
    </row>
    <row r="1112" ht="15">
      <c r="D1112" s="216"/>
    </row>
    <row r="1113" ht="15">
      <c r="D1113" s="216"/>
    </row>
    <row r="1114" ht="15">
      <c r="D1114" s="216"/>
    </row>
    <row r="1115" ht="15">
      <c r="D1115" s="216"/>
    </row>
    <row r="1116" ht="15">
      <c r="D1116" s="216"/>
    </row>
    <row r="1117" ht="15">
      <c r="D1117" s="216"/>
    </row>
    <row r="1118" ht="15">
      <c r="D1118" s="216"/>
    </row>
    <row r="1119" ht="15">
      <c r="D1119" s="216"/>
    </row>
    <row r="1120" ht="15">
      <c r="D1120" s="216"/>
    </row>
    <row r="1121" ht="15">
      <c r="D1121" s="216"/>
    </row>
    <row r="1122" ht="15">
      <c r="D1122" s="216"/>
    </row>
    <row r="1123" ht="15">
      <c r="D1123" s="216"/>
    </row>
    <row r="1124" ht="15">
      <c r="D1124" s="216"/>
    </row>
    <row r="1125" ht="15">
      <c r="D1125" s="216"/>
    </row>
    <row r="1126" ht="15">
      <c r="D1126" s="216"/>
    </row>
    <row r="1127" ht="15">
      <c r="D1127" s="216"/>
    </row>
    <row r="1128" ht="15">
      <c r="D1128" s="216"/>
    </row>
    <row r="1129" ht="15">
      <c r="D1129" s="216"/>
    </row>
    <row r="1130" ht="15">
      <c r="D1130" s="216"/>
    </row>
    <row r="1131" ht="15">
      <c r="D1131" s="216"/>
    </row>
    <row r="1132" ht="15">
      <c r="D1132" s="216"/>
    </row>
    <row r="1133" ht="15">
      <c r="D1133" s="216"/>
    </row>
    <row r="1134" ht="15">
      <c r="D1134" s="216"/>
    </row>
    <row r="1135" ht="15">
      <c r="D1135" s="216"/>
    </row>
    <row r="1136" ht="15">
      <c r="D1136" s="216"/>
    </row>
    <row r="1137" ht="15">
      <c r="D1137" s="216"/>
    </row>
    <row r="1138" ht="15">
      <c r="D1138" s="216"/>
    </row>
    <row r="1139" ht="15">
      <c r="D1139" s="216"/>
    </row>
    <row r="1140" ht="15">
      <c r="D1140" s="216"/>
    </row>
    <row r="1141" ht="15">
      <c r="D1141" s="216"/>
    </row>
    <row r="1142" ht="15">
      <c r="D1142" s="216"/>
    </row>
    <row r="1143" ht="15">
      <c r="D1143" s="216"/>
    </row>
    <row r="1144" ht="15">
      <c r="D1144" s="216"/>
    </row>
    <row r="1145" ht="15">
      <c r="D1145" s="216"/>
    </row>
    <row r="1146" ht="15">
      <c r="D1146" s="216"/>
    </row>
    <row r="1147" ht="15">
      <c r="D1147" s="216"/>
    </row>
    <row r="1148" ht="15">
      <c r="D1148" s="216"/>
    </row>
    <row r="1149" ht="15">
      <c r="D1149" s="216"/>
    </row>
    <row r="1150" ht="15">
      <c r="D1150" s="216"/>
    </row>
    <row r="1151" ht="15">
      <c r="D1151" s="216"/>
    </row>
    <row r="1152" ht="15">
      <c r="D1152" s="216"/>
    </row>
    <row r="1153" ht="15">
      <c r="D1153" s="216"/>
    </row>
    <row r="1154" ht="15">
      <c r="D1154" s="216"/>
    </row>
    <row r="1155" ht="15">
      <c r="D1155" s="216"/>
    </row>
    <row r="1156" ht="15">
      <c r="D1156" s="216"/>
    </row>
    <row r="1157" ht="15">
      <c r="D1157" s="216"/>
    </row>
    <row r="1158" ht="15">
      <c r="D1158" s="216"/>
    </row>
    <row r="1159" ht="15">
      <c r="D1159" s="216"/>
    </row>
    <row r="1160" ht="15">
      <c r="D1160" s="216"/>
    </row>
    <row r="1161" ht="15">
      <c r="D1161" s="216"/>
    </row>
    <row r="1162" ht="15">
      <c r="D1162" s="216"/>
    </row>
    <row r="1163" ht="15">
      <c r="D1163" s="216"/>
    </row>
    <row r="1164" ht="15">
      <c r="D1164" s="216"/>
    </row>
    <row r="1165" ht="15">
      <c r="D1165" s="216"/>
    </row>
    <row r="1166" ht="15">
      <c r="D1166" s="216"/>
    </row>
    <row r="1167" ht="15">
      <c r="D1167" s="216"/>
    </row>
    <row r="1168" ht="15">
      <c r="D1168" s="216"/>
    </row>
    <row r="1169" ht="15">
      <c r="D1169" s="216"/>
    </row>
    <row r="1170" ht="15">
      <c r="D1170" s="216"/>
    </row>
    <row r="1171" ht="15">
      <c r="D1171" s="216"/>
    </row>
    <row r="1172" ht="15">
      <c r="D1172" s="216"/>
    </row>
    <row r="1173" ht="15">
      <c r="D1173" s="216"/>
    </row>
    <row r="1174" ht="15">
      <c r="D1174" s="216"/>
    </row>
    <row r="1175" ht="15">
      <c r="D1175" s="216"/>
    </row>
    <row r="1176" ht="15">
      <c r="D1176" s="216"/>
    </row>
    <row r="1177" ht="15">
      <c r="D1177" s="216"/>
    </row>
    <row r="1178" ht="15">
      <c r="D1178" s="216"/>
    </row>
    <row r="1179" ht="15">
      <c r="D1179" s="216"/>
    </row>
    <row r="1180" ht="15">
      <c r="D1180" s="216"/>
    </row>
    <row r="1181" ht="15">
      <c r="D1181" s="216"/>
    </row>
    <row r="1182" ht="15">
      <c r="D1182" s="216"/>
    </row>
    <row r="1183" ht="15">
      <c r="D1183" s="216"/>
    </row>
    <row r="1184" ht="15">
      <c r="D1184" s="216"/>
    </row>
    <row r="1185" ht="15">
      <c r="D1185" s="216"/>
    </row>
    <row r="1186" ht="15">
      <c r="D1186" s="216"/>
    </row>
    <row r="1187" ht="15">
      <c r="D1187" s="216"/>
    </row>
    <row r="1188" ht="15">
      <c r="D1188" s="216"/>
    </row>
    <row r="1189" ht="15">
      <c r="D1189" s="216"/>
    </row>
    <row r="1190" ht="15">
      <c r="D1190" s="216"/>
    </row>
    <row r="1191" ht="15">
      <c r="D1191" s="216"/>
    </row>
    <row r="1192" ht="15">
      <c r="D1192" s="216"/>
    </row>
    <row r="1193" ht="15">
      <c r="D1193" s="216"/>
    </row>
    <row r="1194" ht="15">
      <c r="D1194" s="216"/>
    </row>
    <row r="1195" ht="15">
      <c r="D1195" s="216"/>
    </row>
    <row r="1196" ht="15">
      <c r="D1196" s="216"/>
    </row>
    <row r="1197" ht="15">
      <c r="D1197" s="216"/>
    </row>
    <row r="1198" ht="15">
      <c r="D1198" s="216"/>
    </row>
    <row r="1199" ht="15">
      <c r="D1199" s="216"/>
    </row>
    <row r="1200" ht="15">
      <c r="D1200" s="216"/>
    </row>
    <row r="1201" ht="15">
      <c r="D1201" s="216"/>
    </row>
    <row r="1202" ht="15">
      <c r="D1202" s="216"/>
    </row>
    <row r="1203" ht="15">
      <c r="D1203" s="216"/>
    </row>
    <row r="1204" ht="15">
      <c r="D1204" s="216"/>
    </row>
    <row r="1205" ht="15">
      <c r="D1205" s="216"/>
    </row>
    <row r="1206" ht="15">
      <c r="D1206" s="216"/>
    </row>
    <row r="1207" ht="15">
      <c r="D1207" s="216"/>
    </row>
    <row r="1208" ht="15">
      <c r="D1208" s="216"/>
    </row>
    <row r="1209" ht="15">
      <c r="D1209" s="216"/>
    </row>
    <row r="1210" ht="15">
      <c r="D1210" s="216"/>
    </row>
    <row r="1211" ht="15">
      <c r="D1211" s="216"/>
    </row>
    <row r="1212" ht="15">
      <c r="D1212" s="216"/>
    </row>
    <row r="1213" ht="15">
      <c r="D1213" s="216"/>
    </row>
    <row r="1214" ht="15">
      <c r="D1214" s="216"/>
    </row>
    <row r="1215" ht="15">
      <c r="D1215" s="216"/>
    </row>
    <row r="1216" ht="15">
      <c r="D1216" s="216"/>
    </row>
    <row r="1217" ht="15">
      <c r="D1217" s="216"/>
    </row>
    <row r="1218" ht="15">
      <c r="D1218" s="216"/>
    </row>
    <row r="1219" ht="15">
      <c r="D1219" s="216"/>
    </row>
    <row r="1220" ht="15">
      <c r="D1220" s="216"/>
    </row>
    <row r="1221" ht="15">
      <c r="D1221" s="216"/>
    </row>
    <row r="1222" ht="15">
      <c r="D1222" s="216"/>
    </row>
    <row r="1223" ht="15">
      <c r="D1223" s="216"/>
    </row>
    <row r="1224" ht="15">
      <c r="D1224" s="216"/>
    </row>
    <row r="1225" ht="15">
      <c r="D1225" s="216"/>
    </row>
    <row r="1226" ht="15">
      <c r="D1226" s="216"/>
    </row>
    <row r="1227" ht="15">
      <c r="D1227" s="216"/>
    </row>
    <row r="1228" ht="15">
      <c r="D1228" s="216"/>
    </row>
    <row r="1229" ht="15">
      <c r="D1229" s="216"/>
    </row>
    <row r="1230" ht="15">
      <c r="D1230" s="216"/>
    </row>
    <row r="1231" ht="15">
      <c r="D1231" s="216"/>
    </row>
    <row r="1232" ht="15">
      <c r="D1232" s="216"/>
    </row>
    <row r="1233" ht="15">
      <c r="D1233" s="216"/>
    </row>
    <row r="1234" ht="15">
      <c r="D1234" s="216"/>
    </row>
    <row r="1235" ht="15">
      <c r="D1235" s="216"/>
    </row>
    <row r="1236" ht="15">
      <c r="D1236" s="216"/>
    </row>
    <row r="1237" ht="15">
      <c r="D1237" s="216"/>
    </row>
    <row r="1238" ht="15">
      <c r="D1238" s="216"/>
    </row>
    <row r="1239" ht="15">
      <c r="D1239" s="216"/>
    </row>
    <row r="1240" ht="15">
      <c r="D1240" s="216"/>
    </row>
    <row r="1241" ht="15">
      <c r="D1241" s="216"/>
    </row>
    <row r="1242" ht="15">
      <c r="D1242" s="216"/>
    </row>
    <row r="1243" ht="15">
      <c r="D1243" s="216"/>
    </row>
    <row r="1244" ht="15">
      <c r="D1244" s="216"/>
    </row>
    <row r="1245" ht="15">
      <c r="D1245" s="216"/>
    </row>
    <row r="1246" ht="15">
      <c r="D1246" s="216"/>
    </row>
    <row r="1247" ht="15">
      <c r="D1247" s="216"/>
    </row>
    <row r="1248" ht="15">
      <c r="D1248" s="216"/>
    </row>
    <row r="1249" ht="15">
      <c r="D1249" s="216"/>
    </row>
    <row r="1250" ht="15">
      <c r="D1250" s="216"/>
    </row>
    <row r="1251" ht="15">
      <c r="D1251" s="216"/>
    </row>
    <row r="1252" ht="15">
      <c r="D1252" s="216"/>
    </row>
    <row r="1253" ht="15">
      <c r="D1253" s="216"/>
    </row>
    <row r="1254" ht="15">
      <c r="D1254" s="216"/>
    </row>
    <row r="1255" ht="15">
      <c r="D1255" s="216"/>
    </row>
    <row r="1256" ht="15">
      <c r="D1256" s="216"/>
    </row>
    <row r="1257" ht="15">
      <c r="D1257" s="216"/>
    </row>
    <row r="1258" ht="15">
      <c r="D1258" s="216"/>
    </row>
    <row r="1259" ht="15">
      <c r="D1259" s="216"/>
    </row>
    <row r="1260" ht="15">
      <c r="D1260" s="216"/>
    </row>
    <row r="1261" ht="15">
      <c r="D1261" s="216"/>
    </row>
    <row r="1262" ht="15">
      <c r="D1262" s="216"/>
    </row>
    <row r="1263" ht="15">
      <c r="D1263" s="216"/>
    </row>
    <row r="1264" ht="15">
      <c r="D1264" s="216"/>
    </row>
    <row r="1265" ht="15">
      <c r="D1265" s="216"/>
    </row>
    <row r="1266" ht="15">
      <c r="D1266" s="216"/>
    </row>
    <row r="1267" ht="15">
      <c r="D1267" s="216"/>
    </row>
    <row r="1268" ht="15">
      <c r="D1268" s="216"/>
    </row>
    <row r="1269" ht="15">
      <c r="D1269" s="216"/>
    </row>
    <row r="1270" ht="15">
      <c r="D1270" s="216"/>
    </row>
    <row r="1271" ht="15">
      <c r="D1271" s="216"/>
    </row>
    <row r="1272" ht="15">
      <c r="D1272" s="216"/>
    </row>
    <row r="1273" ht="15">
      <c r="D1273" s="216"/>
    </row>
    <row r="1274" ht="15">
      <c r="D1274" s="216"/>
    </row>
    <row r="1275" ht="15">
      <c r="D1275" s="216"/>
    </row>
    <row r="1276" ht="15">
      <c r="D1276" s="216"/>
    </row>
    <row r="1277" ht="15">
      <c r="D1277" s="216"/>
    </row>
    <row r="1278" ht="15">
      <c r="D1278" s="216"/>
    </row>
    <row r="1279" ht="15">
      <c r="D1279" s="216"/>
    </row>
    <row r="1280" ht="15">
      <c r="D1280" s="216"/>
    </row>
    <row r="1281" ht="15">
      <c r="D1281" s="216"/>
    </row>
    <row r="1282" ht="15">
      <c r="D1282" s="216"/>
    </row>
    <row r="1283" ht="15">
      <c r="D1283" s="216"/>
    </row>
    <row r="1284" ht="15">
      <c r="D1284" s="216"/>
    </row>
    <row r="1285" ht="15">
      <c r="D1285" s="216"/>
    </row>
    <row r="1286" ht="15">
      <c r="D1286" s="216"/>
    </row>
    <row r="1287" ht="15">
      <c r="D1287" s="216"/>
    </row>
    <row r="1288" ht="15">
      <c r="D1288" s="216"/>
    </row>
    <row r="1289" ht="15">
      <c r="D1289" s="216"/>
    </row>
    <row r="1290" ht="15">
      <c r="D1290" s="216"/>
    </row>
    <row r="1291" ht="15">
      <c r="D1291" s="216"/>
    </row>
    <row r="1292" ht="15">
      <c r="D1292" s="216"/>
    </row>
    <row r="1293" ht="15">
      <c r="D1293" s="216"/>
    </row>
    <row r="1294" ht="15">
      <c r="D1294" s="216"/>
    </row>
    <row r="1295" ht="15">
      <c r="D1295" s="216"/>
    </row>
    <row r="1296" ht="15">
      <c r="D1296" s="216"/>
    </row>
    <row r="1297" ht="15">
      <c r="D1297" s="216"/>
    </row>
    <row r="1298" ht="15">
      <c r="D1298" s="216"/>
    </row>
    <row r="1299" ht="15">
      <c r="D1299" s="216"/>
    </row>
    <row r="1300" ht="15">
      <c r="D1300" s="216"/>
    </row>
    <row r="1301" ht="15">
      <c r="D1301" s="216"/>
    </row>
    <row r="1302" ht="15">
      <c r="D1302" s="216"/>
    </row>
    <row r="1303" ht="15">
      <c r="D1303" s="216"/>
    </row>
    <row r="1304" ht="15">
      <c r="D1304" s="216"/>
    </row>
    <row r="1305" ht="15">
      <c r="D1305" s="216"/>
    </row>
    <row r="1306" ht="15">
      <c r="D1306" s="216"/>
    </row>
    <row r="1307" ht="15">
      <c r="D1307" s="216"/>
    </row>
    <row r="1308" ht="15">
      <c r="D1308" s="216"/>
    </row>
    <row r="1309" ht="15">
      <c r="D1309" s="216"/>
    </row>
    <row r="1310" ht="15">
      <c r="D1310" s="216"/>
    </row>
    <row r="1311" ht="15">
      <c r="D1311" s="216"/>
    </row>
    <row r="1312" ht="15">
      <c r="D1312" s="216"/>
    </row>
    <row r="1313" ht="15">
      <c r="D1313" s="216"/>
    </row>
    <row r="1314" ht="15">
      <c r="D1314" s="216"/>
    </row>
    <row r="1315" ht="15">
      <c r="D1315" s="216"/>
    </row>
    <row r="1316" ht="15">
      <c r="D1316" s="216"/>
    </row>
    <row r="1317" ht="15">
      <c r="D1317" s="216"/>
    </row>
    <row r="1318" ht="15">
      <c r="D1318" s="216"/>
    </row>
    <row r="1319" ht="15">
      <c r="D1319" s="216"/>
    </row>
    <row r="1320" ht="15">
      <c r="D1320" s="216"/>
    </row>
    <row r="1321" ht="15">
      <c r="D1321" s="216"/>
    </row>
    <row r="1322" ht="15">
      <c r="D1322" s="216"/>
    </row>
    <row r="1323" ht="15">
      <c r="D1323" s="216"/>
    </row>
    <row r="1324" ht="15">
      <c r="D1324" s="216"/>
    </row>
    <row r="1325" ht="15">
      <c r="D1325" s="216"/>
    </row>
    <row r="1326" ht="15">
      <c r="D1326" s="216"/>
    </row>
    <row r="1327" ht="15">
      <c r="D1327" s="216"/>
    </row>
    <row r="1328" ht="15">
      <c r="D1328" s="216"/>
    </row>
    <row r="1329" ht="15">
      <c r="D1329" s="216"/>
    </row>
    <row r="1330" ht="15">
      <c r="D1330" s="216"/>
    </row>
    <row r="1331" ht="15">
      <c r="D1331" s="216"/>
    </row>
    <row r="1332" ht="15">
      <c r="D1332" s="216"/>
    </row>
    <row r="1333" ht="15">
      <c r="D1333" s="216"/>
    </row>
    <row r="1334" ht="15">
      <c r="D1334" s="216"/>
    </row>
    <row r="1335" ht="15">
      <c r="D1335" s="216"/>
    </row>
    <row r="1336" ht="15">
      <c r="D1336" s="216"/>
    </row>
    <row r="1337" ht="15">
      <c r="D1337" s="216"/>
    </row>
    <row r="1338" ht="15">
      <c r="D1338" s="216"/>
    </row>
    <row r="1339" ht="15">
      <c r="D1339" s="216"/>
    </row>
    <row r="1340" ht="15">
      <c r="D1340" s="216"/>
    </row>
    <row r="1341" ht="15">
      <c r="D1341" s="216"/>
    </row>
    <row r="1342" ht="15">
      <c r="D1342" s="216"/>
    </row>
    <row r="1343" ht="15">
      <c r="D1343" s="216"/>
    </row>
    <row r="1344" ht="15">
      <c r="D1344" s="216"/>
    </row>
    <row r="1345" ht="15">
      <c r="D1345" s="216"/>
    </row>
    <row r="1346" ht="15">
      <c r="D1346" s="216"/>
    </row>
    <row r="1347" ht="15">
      <c r="D1347" s="216"/>
    </row>
    <row r="1348" ht="15">
      <c r="D1348" s="216"/>
    </row>
    <row r="1349" ht="15">
      <c r="D1349" s="216"/>
    </row>
    <row r="1350" ht="15">
      <c r="D1350" s="216"/>
    </row>
    <row r="1351" ht="15">
      <c r="D1351" s="216"/>
    </row>
    <row r="1352" ht="15">
      <c r="D1352" s="216"/>
    </row>
    <row r="1353" ht="15">
      <c r="D1353" s="216"/>
    </row>
    <row r="1354" ht="15">
      <c r="D1354" s="216"/>
    </row>
    <row r="1355" ht="15">
      <c r="D1355" s="216"/>
    </row>
    <row r="1356" ht="15">
      <c r="D1356" s="216"/>
    </row>
    <row r="1357" ht="15">
      <c r="D1357" s="216"/>
    </row>
    <row r="1358" ht="15">
      <c r="D1358" s="216"/>
    </row>
    <row r="1359" ht="15">
      <c r="D1359" s="216"/>
    </row>
    <row r="1360" ht="15">
      <c r="D1360" s="216"/>
    </row>
    <row r="1361" ht="15">
      <c r="D1361" s="216"/>
    </row>
    <row r="1362" ht="15">
      <c r="D1362" s="216"/>
    </row>
    <row r="1363" ht="15">
      <c r="D1363" s="216"/>
    </row>
    <row r="1364" ht="15">
      <c r="D1364" s="216"/>
    </row>
    <row r="1365" ht="15">
      <c r="D1365" s="216"/>
    </row>
    <row r="1366" ht="15">
      <c r="D1366" s="216"/>
    </row>
    <row r="1367" ht="15">
      <c r="D1367" s="216"/>
    </row>
    <row r="1368" ht="15">
      <c r="D1368" s="216"/>
    </row>
    <row r="1369" ht="15">
      <c r="D1369" s="216"/>
    </row>
    <row r="1370" ht="15">
      <c r="D1370" s="216"/>
    </row>
    <row r="1371" ht="15">
      <c r="D1371" s="216"/>
    </row>
    <row r="1372" ht="15">
      <c r="D1372" s="216"/>
    </row>
    <row r="1373" ht="15">
      <c r="D1373" s="216"/>
    </row>
    <row r="1374" ht="15">
      <c r="D1374" s="216"/>
    </row>
    <row r="1375" ht="15">
      <c r="D1375" s="216"/>
    </row>
    <row r="1376" ht="15">
      <c r="D1376" s="216"/>
    </row>
    <row r="1377" ht="15">
      <c r="D1377" s="216"/>
    </row>
    <row r="1378" ht="15">
      <c r="D1378" s="216"/>
    </row>
    <row r="1379" ht="15">
      <c r="D1379" s="216"/>
    </row>
    <row r="1380" ht="15">
      <c r="D1380" s="216"/>
    </row>
    <row r="1381" ht="15">
      <c r="D1381" s="216"/>
    </row>
    <row r="1382" ht="15">
      <c r="D1382" s="216"/>
    </row>
    <row r="1383" ht="15">
      <c r="D1383" s="216"/>
    </row>
    <row r="1384" ht="15">
      <c r="D1384" s="216"/>
    </row>
    <row r="1385" ht="15">
      <c r="D1385" s="216"/>
    </row>
    <row r="1386" ht="15">
      <c r="D1386" s="216"/>
    </row>
    <row r="1387" ht="15">
      <c r="D1387" s="216"/>
    </row>
    <row r="1388" ht="15">
      <c r="D1388" s="216"/>
    </row>
    <row r="1389" ht="15">
      <c r="D1389" s="216"/>
    </row>
    <row r="1390" ht="15">
      <c r="D1390" s="216"/>
    </row>
    <row r="1391" ht="15">
      <c r="D1391" s="216"/>
    </row>
    <row r="1392" ht="15">
      <c r="D1392" s="216"/>
    </row>
    <row r="1393" ht="15">
      <c r="D1393" s="216"/>
    </row>
    <row r="1394" ht="15">
      <c r="D1394" s="216"/>
    </row>
    <row r="1395" ht="15">
      <c r="D1395" s="216"/>
    </row>
    <row r="1396" ht="15">
      <c r="D1396" s="216"/>
    </row>
    <row r="1397" ht="15">
      <c r="D1397" s="216"/>
    </row>
    <row r="1398" ht="15">
      <c r="D1398" s="216"/>
    </row>
    <row r="1399" ht="15">
      <c r="D1399" s="216"/>
    </row>
    <row r="1400" ht="15">
      <c r="D1400" s="216"/>
    </row>
    <row r="1401" ht="15">
      <c r="D1401" s="216"/>
    </row>
    <row r="1402" ht="15">
      <c r="D1402" s="216"/>
    </row>
    <row r="1403" ht="15">
      <c r="D1403" s="216"/>
    </row>
    <row r="1404" ht="15">
      <c r="D1404" s="216"/>
    </row>
    <row r="1405" ht="15">
      <c r="D1405" s="216"/>
    </row>
    <row r="1406" ht="15">
      <c r="D1406" s="216"/>
    </row>
    <row r="1407" ht="15">
      <c r="D1407" s="216"/>
    </row>
    <row r="1408" ht="15">
      <c r="D1408" s="216"/>
    </row>
    <row r="1409" ht="15">
      <c r="D1409" s="216"/>
    </row>
    <row r="1410" ht="15">
      <c r="D1410" s="216"/>
    </row>
    <row r="1411" ht="15">
      <c r="D1411" s="216"/>
    </row>
    <row r="1412" ht="15">
      <c r="D1412" s="216"/>
    </row>
    <row r="1413" ht="15">
      <c r="D1413" s="216"/>
    </row>
    <row r="1414" ht="15">
      <c r="D1414" s="216"/>
    </row>
    <row r="1415" ht="15">
      <c r="D1415" s="216"/>
    </row>
    <row r="1416" ht="15">
      <c r="D1416" s="216"/>
    </row>
    <row r="1417" ht="15">
      <c r="D1417" s="216"/>
    </row>
    <row r="1418" ht="15">
      <c r="D1418" s="216"/>
    </row>
    <row r="1419" ht="15">
      <c r="D1419" s="216"/>
    </row>
    <row r="1420" ht="15">
      <c r="D1420" s="216"/>
    </row>
    <row r="1421" ht="15">
      <c r="D1421" s="216"/>
    </row>
    <row r="1422" ht="15">
      <c r="D1422" s="216"/>
    </row>
    <row r="1423" ht="15">
      <c r="D1423" s="216"/>
    </row>
    <row r="1424" ht="15">
      <c r="D1424" s="216"/>
    </row>
    <row r="1425" ht="15">
      <c r="D1425" s="216"/>
    </row>
    <row r="1426" ht="15">
      <c r="D1426" s="216"/>
    </row>
    <row r="1427" ht="15">
      <c r="D1427" s="216"/>
    </row>
    <row r="1428" ht="15">
      <c r="D1428" s="216"/>
    </row>
    <row r="1429" ht="15">
      <c r="D1429" s="216"/>
    </row>
    <row r="1430" ht="15">
      <c r="D1430" s="216"/>
    </row>
    <row r="1431" ht="15">
      <c r="D1431" s="216"/>
    </row>
    <row r="1432" ht="15">
      <c r="D1432" s="216"/>
    </row>
    <row r="1433" ht="15">
      <c r="D1433" s="216"/>
    </row>
    <row r="1434" ht="15">
      <c r="D1434" s="216"/>
    </row>
    <row r="1435" ht="15">
      <c r="D1435" s="216"/>
    </row>
    <row r="1436" ht="15">
      <c r="D1436" s="216"/>
    </row>
    <row r="1437" ht="15">
      <c r="D1437" s="216"/>
    </row>
    <row r="1438" ht="15">
      <c r="D1438" s="216"/>
    </row>
    <row r="1439" ht="15">
      <c r="D1439" s="216"/>
    </row>
    <row r="1440" ht="15">
      <c r="D1440" s="216"/>
    </row>
    <row r="1441" ht="15">
      <c r="D1441" s="216"/>
    </row>
    <row r="1442" ht="15">
      <c r="D1442" s="216"/>
    </row>
    <row r="1443" ht="15">
      <c r="D1443" s="216"/>
    </row>
    <row r="1444" ht="15">
      <c r="D1444" s="216"/>
    </row>
    <row r="1445" ht="15">
      <c r="D1445" s="216"/>
    </row>
    <row r="1446" ht="15">
      <c r="D1446" s="216"/>
    </row>
    <row r="1447" ht="15">
      <c r="D1447" s="216"/>
    </row>
    <row r="1448" ht="15">
      <c r="D1448" s="216"/>
    </row>
    <row r="1449" ht="15">
      <c r="D1449" s="216"/>
    </row>
    <row r="1450" ht="15">
      <c r="D1450" s="216"/>
    </row>
    <row r="1451" ht="15">
      <c r="D1451" s="216"/>
    </row>
    <row r="1452" ht="15">
      <c r="D1452" s="216"/>
    </row>
    <row r="1453" ht="15">
      <c r="D1453" s="216"/>
    </row>
    <row r="1454" ht="15">
      <c r="D1454" s="216"/>
    </row>
    <row r="1455" ht="15">
      <c r="D1455" s="216"/>
    </row>
    <row r="1456" ht="15">
      <c r="D1456" s="216"/>
    </row>
    <row r="1457" ht="15">
      <c r="D1457" s="216"/>
    </row>
    <row r="1458" ht="15">
      <c r="D1458" s="216"/>
    </row>
    <row r="1459" ht="15">
      <c r="D1459" s="216"/>
    </row>
    <row r="1460" ht="15">
      <c r="D1460" s="216"/>
    </row>
    <row r="1461" ht="15">
      <c r="D1461" s="216"/>
    </row>
    <row r="1462" ht="15">
      <c r="D1462" s="216"/>
    </row>
    <row r="1463" ht="15">
      <c r="D1463" s="216"/>
    </row>
    <row r="1464" ht="15">
      <c r="D1464" s="216"/>
    </row>
    <row r="1465" ht="15">
      <c r="D1465" s="216"/>
    </row>
    <row r="1466" ht="15">
      <c r="D1466" s="216"/>
    </row>
    <row r="1467" ht="15">
      <c r="D1467" s="216"/>
    </row>
    <row r="1468" ht="15">
      <c r="D1468" s="216"/>
    </row>
    <row r="1469" ht="15">
      <c r="D1469" s="216"/>
    </row>
    <row r="1470" ht="15">
      <c r="D1470" s="216"/>
    </row>
    <row r="1471" ht="15">
      <c r="D1471" s="216"/>
    </row>
    <row r="1472" ht="15">
      <c r="D1472" s="216"/>
    </row>
    <row r="1473" ht="15">
      <c r="D1473" s="216"/>
    </row>
    <row r="1474" ht="15">
      <c r="D1474" s="216"/>
    </row>
    <row r="1475" ht="15">
      <c r="D1475" s="216"/>
    </row>
    <row r="1476" ht="15">
      <c r="D1476" s="216"/>
    </row>
    <row r="1477" ht="15">
      <c r="D1477" s="216"/>
    </row>
    <row r="1478" ht="15">
      <c r="D1478" s="216"/>
    </row>
    <row r="1479" ht="15">
      <c r="D1479" s="216"/>
    </row>
    <row r="1480" ht="15">
      <c r="D1480" s="216"/>
    </row>
    <row r="1481" ht="15">
      <c r="D1481" s="216"/>
    </row>
    <row r="1482" ht="15">
      <c r="D1482" s="216"/>
    </row>
    <row r="1483" ht="15">
      <c r="D1483" s="216"/>
    </row>
    <row r="1484" ht="15">
      <c r="D1484" s="216"/>
    </row>
    <row r="1485" ht="15">
      <c r="D1485" s="216"/>
    </row>
    <row r="1486" ht="15">
      <c r="D1486" s="216"/>
    </row>
    <row r="1487" ht="15">
      <c r="D1487" s="216"/>
    </row>
    <row r="1488" ht="15">
      <c r="D1488" s="216"/>
    </row>
    <row r="1489" ht="15">
      <c r="D1489" s="216"/>
    </row>
    <row r="1490" ht="15">
      <c r="D1490" s="216"/>
    </row>
    <row r="1491" ht="15">
      <c r="D1491" s="216"/>
    </row>
    <row r="1492" ht="15">
      <c r="D1492" s="216"/>
    </row>
    <row r="1493" ht="15">
      <c r="D1493" s="216"/>
    </row>
    <row r="1494" ht="15">
      <c r="D1494" s="216"/>
    </row>
    <row r="1495" ht="15">
      <c r="D1495" s="216"/>
    </row>
    <row r="1496" ht="15">
      <c r="D1496" s="216"/>
    </row>
    <row r="1497" ht="15">
      <c r="D1497" s="216"/>
    </row>
    <row r="1498" ht="15">
      <c r="D1498" s="216"/>
    </row>
    <row r="1499" ht="15">
      <c r="D1499" s="216"/>
    </row>
    <row r="1500" ht="15">
      <c r="D1500" s="216"/>
    </row>
    <row r="1501" ht="15">
      <c r="D1501" s="216"/>
    </row>
    <row r="1502" ht="15">
      <c r="D1502" s="216"/>
    </row>
    <row r="1503" ht="15">
      <c r="D1503" s="216"/>
    </row>
    <row r="1504" ht="15">
      <c r="D1504" s="216"/>
    </row>
    <row r="1505" ht="15">
      <c r="D1505" s="216"/>
    </row>
    <row r="1506" ht="15">
      <c r="D1506" s="216"/>
    </row>
    <row r="1507" ht="15">
      <c r="D1507" s="216"/>
    </row>
    <row r="1508" ht="15">
      <c r="D1508" s="216"/>
    </row>
    <row r="1509" ht="15">
      <c r="D1509" s="216"/>
    </row>
    <row r="1510" ht="15">
      <c r="D1510" s="216"/>
    </row>
    <row r="1511" ht="15">
      <c r="D1511" s="216"/>
    </row>
    <row r="1512" ht="15">
      <c r="D1512" s="216"/>
    </row>
    <row r="1513" ht="15">
      <c r="D1513" s="216"/>
    </row>
    <row r="1514" ht="15">
      <c r="D1514" s="216"/>
    </row>
    <row r="1515" ht="15">
      <c r="D1515" s="216"/>
    </row>
    <row r="1516" ht="15">
      <c r="D1516" s="216"/>
    </row>
    <row r="1517" ht="15">
      <c r="D1517" s="216"/>
    </row>
    <row r="1518" ht="15">
      <c r="D1518" s="216"/>
    </row>
    <row r="1519" ht="15">
      <c r="D1519" s="216"/>
    </row>
    <row r="1520" ht="15">
      <c r="D1520" s="216"/>
    </row>
    <row r="1521" ht="15">
      <c r="D1521" s="216"/>
    </row>
    <row r="1522" ht="15">
      <c r="D1522" s="216"/>
    </row>
    <row r="1523" ht="15">
      <c r="D1523" s="216"/>
    </row>
    <row r="1524" ht="15">
      <c r="D1524" s="216"/>
    </row>
    <row r="1525" ht="15">
      <c r="D1525" s="216"/>
    </row>
    <row r="1526" ht="15">
      <c r="D1526" s="216"/>
    </row>
    <row r="1527" ht="15">
      <c r="D1527" s="216"/>
    </row>
    <row r="1528" ht="15">
      <c r="D1528" s="216"/>
    </row>
    <row r="1529" ht="15">
      <c r="D1529" s="216"/>
    </row>
    <row r="1530" ht="15">
      <c r="D1530" s="216"/>
    </row>
    <row r="1531" ht="15">
      <c r="D1531" s="216"/>
    </row>
    <row r="1532" ht="15">
      <c r="D1532" s="216"/>
    </row>
    <row r="1533" ht="15">
      <c r="D1533" s="216"/>
    </row>
    <row r="1534" ht="15">
      <c r="D1534" s="216"/>
    </row>
    <row r="1535" ht="15">
      <c r="D1535" s="216"/>
    </row>
    <row r="1536" ht="15">
      <c r="D1536" s="216"/>
    </row>
    <row r="1537" ht="15">
      <c r="D1537" s="216"/>
    </row>
    <row r="1538" ht="15">
      <c r="D1538" s="216"/>
    </row>
    <row r="1539" ht="15">
      <c r="D1539" s="216"/>
    </row>
    <row r="1540" ht="15">
      <c r="D1540" s="216"/>
    </row>
    <row r="1541" ht="15">
      <c r="D1541" s="216"/>
    </row>
    <row r="1542" ht="15">
      <c r="D1542" s="216"/>
    </row>
    <row r="1543" ht="15">
      <c r="D1543" s="216"/>
    </row>
    <row r="1544" ht="15">
      <c r="D1544" s="216"/>
    </row>
    <row r="1545" ht="15">
      <c r="D1545" s="216"/>
    </row>
    <row r="1546" ht="15">
      <c r="D1546" s="216"/>
    </row>
    <row r="1547" ht="15">
      <c r="D1547" s="216"/>
    </row>
    <row r="1548" ht="15">
      <c r="D1548" s="216"/>
    </row>
    <row r="1549" ht="15">
      <c r="D1549" s="216"/>
    </row>
    <row r="1550" ht="15">
      <c r="D1550" s="216"/>
    </row>
    <row r="1551" ht="15">
      <c r="D1551" s="216"/>
    </row>
    <row r="1552" ht="15">
      <c r="D1552" s="216"/>
    </row>
    <row r="1553" ht="15">
      <c r="D1553" s="216"/>
    </row>
    <row r="1554" ht="15">
      <c r="D1554" s="216"/>
    </row>
    <row r="1555" ht="15">
      <c r="D1555" s="216"/>
    </row>
    <row r="1556" ht="15">
      <c r="D1556" s="216"/>
    </row>
    <row r="1557" ht="15">
      <c r="D1557" s="216"/>
    </row>
    <row r="1558" ht="15">
      <c r="D1558" s="216"/>
    </row>
    <row r="1559" ht="15">
      <c r="D1559" s="216"/>
    </row>
    <row r="1560" ht="15">
      <c r="D1560" s="216"/>
    </row>
    <row r="1561" ht="15">
      <c r="D1561" s="216"/>
    </row>
    <row r="1562" ht="15">
      <c r="D1562" s="216"/>
    </row>
    <row r="1563" ht="15">
      <c r="D1563" s="216"/>
    </row>
    <row r="1564" ht="15">
      <c r="D1564" s="216"/>
    </row>
    <row r="1565" ht="15">
      <c r="D1565" s="216"/>
    </row>
    <row r="1566" ht="15">
      <c r="D1566" s="216"/>
    </row>
    <row r="1567" ht="15">
      <c r="D1567" s="216"/>
    </row>
    <row r="1568" ht="15">
      <c r="D1568" s="216"/>
    </row>
    <row r="1569" ht="15">
      <c r="D1569" s="216"/>
    </row>
    <row r="1570" ht="15">
      <c r="D1570" s="216"/>
    </row>
    <row r="1571" ht="15">
      <c r="D1571" s="216"/>
    </row>
    <row r="1572" ht="15">
      <c r="D1572" s="216"/>
    </row>
    <row r="1573" ht="15">
      <c r="D1573" s="216"/>
    </row>
    <row r="1574" ht="15">
      <c r="D1574" s="216"/>
    </row>
    <row r="1575" ht="15">
      <c r="D1575" s="216"/>
    </row>
    <row r="1576" ht="15">
      <c r="D1576" s="216"/>
    </row>
    <row r="1577" ht="15">
      <c r="D1577" s="216"/>
    </row>
    <row r="1578" ht="15">
      <c r="D1578" s="216"/>
    </row>
    <row r="1579" ht="15">
      <c r="D1579" s="216"/>
    </row>
    <row r="1580" ht="15">
      <c r="D1580" s="216"/>
    </row>
    <row r="1581" ht="15">
      <c r="D1581" s="216"/>
    </row>
    <row r="1582" ht="15">
      <c r="D1582" s="216"/>
    </row>
    <row r="1583" ht="15">
      <c r="D1583" s="216"/>
    </row>
    <row r="1584" ht="15">
      <c r="D1584" s="216"/>
    </row>
    <row r="1585" ht="15">
      <c r="D1585" s="216"/>
    </row>
    <row r="1586" ht="15">
      <c r="D1586" s="216"/>
    </row>
    <row r="1587" ht="15">
      <c r="D1587" s="216"/>
    </row>
    <row r="1588" ht="15">
      <c r="D1588" s="216"/>
    </row>
    <row r="1589" ht="15">
      <c r="D1589" s="216"/>
    </row>
    <row r="1590" ht="15">
      <c r="D1590" s="216"/>
    </row>
    <row r="1591" ht="15">
      <c r="D1591" s="216"/>
    </row>
    <row r="1592" ht="15">
      <c r="D1592" s="216"/>
    </row>
    <row r="1593" ht="15">
      <c r="D1593" s="216"/>
    </row>
    <row r="1594" ht="15">
      <c r="D1594" s="216"/>
    </row>
    <row r="1595" ht="15">
      <c r="D1595" s="216"/>
    </row>
    <row r="1596" ht="15">
      <c r="D1596" s="216"/>
    </row>
    <row r="1597" ht="15">
      <c r="D1597" s="216"/>
    </row>
    <row r="1598" ht="15">
      <c r="D1598" s="216"/>
    </row>
    <row r="1599" ht="15">
      <c r="D1599" s="216"/>
    </row>
    <row r="1600" ht="15">
      <c r="D1600" s="216"/>
    </row>
    <row r="1601" ht="15">
      <c r="D1601" s="216"/>
    </row>
    <row r="1602" ht="15">
      <c r="D1602" s="216"/>
    </row>
    <row r="1603" ht="15">
      <c r="D1603" s="216"/>
    </row>
    <row r="1604" ht="15">
      <c r="D1604" s="216"/>
    </row>
    <row r="1605" ht="15">
      <c r="D1605" s="216"/>
    </row>
    <row r="1606" ht="15">
      <c r="D1606" s="216"/>
    </row>
    <row r="1607" ht="15">
      <c r="D1607" s="216"/>
    </row>
    <row r="1608" ht="15">
      <c r="D1608" s="216"/>
    </row>
    <row r="1609" ht="15">
      <c r="D1609" s="216"/>
    </row>
    <row r="1610" ht="15">
      <c r="D1610" s="216"/>
    </row>
    <row r="1611" ht="15">
      <c r="D1611" s="216"/>
    </row>
    <row r="1612" ht="15">
      <c r="D1612" s="216"/>
    </row>
    <row r="1613" ht="15">
      <c r="D1613" s="216"/>
    </row>
    <row r="1614" ht="15">
      <c r="D1614" s="216"/>
    </row>
    <row r="1615" ht="15">
      <c r="D1615" s="216"/>
    </row>
    <row r="1616" ht="15">
      <c r="D1616" s="216"/>
    </row>
    <row r="1617" ht="15">
      <c r="D1617" s="216"/>
    </row>
    <row r="1618" ht="15">
      <c r="D1618" s="216"/>
    </row>
    <row r="1619" ht="15">
      <c r="D1619" s="216"/>
    </row>
    <row r="1620" ht="15">
      <c r="D1620" s="216"/>
    </row>
    <row r="1621" ht="15">
      <c r="D1621" s="216"/>
    </row>
    <row r="1622" ht="15">
      <c r="D1622" s="216"/>
    </row>
    <row r="1623" ht="15">
      <c r="D1623" s="216"/>
    </row>
    <row r="1624" ht="15">
      <c r="D1624" s="216"/>
    </row>
    <row r="1625" ht="15">
      <c r="D1625" s="216"/>
    </row>
    <row r="1626" ht="15">
      <c r="D1626" s="216"/>
    </row>
    <row r="1627" ht="15">
      <c r="D1627" s="216"/>
    </row>
    <row r="1628" ht="15">
      <c r="D1628" s="216"/>
    </row>
    <row r="1629" ht="15">
      <c r="D1629" s="216"/>
    </row>
    <row r="1630" ht="15">
      <c r="D1630" s="216"/>
    </row>
    <row r="1631" ht="15">
      <c r="D1631" s="216"/>
    </row>
    <row r="1632" ht="15">
      <c r="D1632" s="216"/>
    </row>
    <row r="1633" ht="15">
      <c r="D1633" s="216"/>
    </row>
    <row r="1634" ht="15">
      <c r="D1634" s="216"/>
    </row>
    <row r="1635" ht="15">
      <c r="D1635" s="216"/>
    </row>
    <row r="1636" ht="15">
      <c r="D1636" s="216"/>
    </row>
    <row r="1637" ht="15">
      <c r="D1637" s="216"/>
    </row>
    <row r="1638" ht="15">
      <c r="D1638" s="216"/>
    </row>
    <row r="1639" ht="15">
      <c r="D1639" s="216"/>
    </row>
    <row r="1640" ht="15">
      <c r="D1640" s="216"/>
    </row>
    <row r="1641" ht="15">
      <c r="D1641" s="216"/>
    </row>
    <row r="1642" ht="15">
      <c r="D1642" s="216"/>
    </row>
    <row r="1643" ht="15">
      <c r="D1643" s="216"/>
    </row>
    <row r="1644" ht="15">
      <c r="D1644" s="216"/>
    </row>
    <row r="1645" ht="15">
      <c r="D1645" s="216"/>
    </row>
    <row r="1646" ht="15">
      <c r="D1646" s="216"/>
    </row>
    <row r="1647" ht="15">
      <c r="D1647" s="216"/>
    </row>
    <row r="1648" ht="15">
      <c r="D1648" s="216"/>
    </row>
    <row r="1649" ht="15">
      <c r="D1649" s="216"/>
    </row>
    <row r="1650" ht="15">
      <c r="D1650" s="216"/>
    </row>
    <row r="1651" ht="15">
      <c r="D1651" s="216"/>
    </row>
    <row r="1652" ht="15">
      <c r="D1652" s="216"/>
    </row>
    <row r="1653" ht="15">
      <c r="D1653" s="216"/>
    </row>
    <row r="1654" ht="15">
      <c r="D1654" s="216"/>
    </row>
    <row r="1655" ht="15">
      <c r="D1655" s="216"/>
    </row>
    <row r="1656" ht="15">
      <c r="D1656" s="216"/>
    </row>
    <row r="1657" ht="15">
      <c r="D1657" s="216"/>
    </row>
    <row r="1658" ht="15">
      <c r="D1658" s="216"/>
    </row>
    <row r="1659" ht="15">
      <c r="D1659" s="216"/>
    </row>
    <row r="1660" ht="15">
      <c r="D1660" s="216"/>
    </row>
    <row r="1661" ht="15">
      <c r="D1661" s="216"/>
    </row>
    <row r="1662" ht="15">
      <c r="D1662" s="216"/>
    </row>
    <row r="1663" ht="15">
      <c r="D1663" s="216"/>
    </row>
    <row r="1664" ht="15">
      <c r="D1664" s="216"/>
    </row>
    <row r="1665" ht="15">
      <c r="D1665" s="216"/>
    </row>
    <row r="1666" ht="15">
      <c r="D1666" s="216"/>
    </row>
    <row r="1667" ht="15">
      <c r="D1667" s="216"/>
    </row>
    <row r="1668" ht="15">
      <c r="D1668" s="216"/>
    </row>
    <row r="1669" ht="15">
      <c r="D1669" s="216"/>
    </row>
    <row r="1670" ht="15">
      <c r="D1670" s="216"/>
    </row>
    <row r="1671" ht="15">
      <c r="D1671" s="216"/>
    </row>
    <row r="1672" ht="15">
      <c r="D1672" s="216"/>
    </row>
    <row r="1673" ht="15">
      <c r="D1673" s="216"/>
    </row>
    <row r="1674" ht="15">
      <c r="D1674" s="216"/>
    </row>
    <row r="1675" ht="15">
      <c r="D1675" s="216"/>
    </row>
    <row r="1676" ht="15">
      <c r="D1676" s="216"/>
    </row>
    <row r="1677" ht="15">
      <c r="D1677" s="216"/>
    </row>
    <row r="1678" ht="15">
      <c r="D1678" s="216"/>
    </row>
    <row r="1679" ht="15">
      <c r="D1679" s="216"/>
    </row>
    <row r="1680" ht="15">
      <c r="D1680" s="216"/>
    </row>
    <row r="1681" ht="15">
      <c r="D1681" s="216"/>
    </row>
    <row r="1682" ht="15">
      <c r="D1682" s="216"/>
    </row>
    <row r="1683" ht="15">
      <c r="D1683" s="216"/>
    </row>
    <row r="1684" ht="15">
      <c r="D1684" s="216"/>
    </row>
    <row r="1685" ht="15">
      <c r="D1685" s="216"/>
    </row>
    <row r="1686" ht="15">
      <c r="D1686" s="216"/>
    </row>
    <row r="1687" ht="15">
      <c r="D1687" s="216"/>
    </row>
    <row r="1688" ht="15">
      <c r="D1688" s="216"/>
    </row>
    <row r="1689" ht="15">
      <c r="D1689" s="216"/>
    </row>
    <row r="1690" ht="15">
      <c r="D1690" s="216"/>
    </row>
    <row r="1691" ht="15">
      <c r="D1691" s="216"/>
    </row>
    <row r="1692" ht="15">
      <c r="D1692" s="216"/>
    </row>
    <row r="1693" ht="15">
      <c r="D1693" s="216"/>
    </row>
    <row r="1694" ht="15">
      <c r="D1694" s="216"/>
    </row>
    <row r="1695" ht="15">
      <c r="D1695" s="216"/>
    </row>
    <row r="1696" ht="15">
      <c r="D1696" s="216"/>
    </row>
    <row r="1697" ht="15">
      <c r="D1697" s="216"/>
    </row>
    <row r="1698" ht="15">
      <c r="D1698" s="216"/>
    </row>
    <row r="1699" ht="15">
      <c r="D1699" s="216"/>
    </row>
    <row r="1700" ht="15">
      <c r="D1700" s="216"/>
    </row>
    <row r="1701" ht="15">
      <c r="D1701" s="216"/>
    </row>
    <row r="1702" ht="15">
      <c r="D1702" s="216"/>
    </row>
    <row r="1703" ht="15">
      <c r="D1703" s="216"/>
    </row>
    <row r="1704" ht="15">
      <c r="D1704" s="216"/>
    </row>
    <row r="1705" ht="15">
      <c r="D1705" s="216"/>
    </row>
    <row r="1706" ht="15">
      <c r="D1706" s="216"/>
    </row>
    <row r="1707" ht="15">
      <c r="D1707" s="216"/>
    </row>
    <row r="1708" ht="15">
      <c r="D1708" s="216"/>
    </row>
    <row r="1709" ht="15">
      <c r="D1709" s="216"/>
    </row>
    <row r="1710" ht="15">
      <c r="D1710" s="216"/>
    </row>
    <row r="1711" ht="15">
      <c r="D1711" s="216"/>
    </row>
    <row r="1712" ht="15">
      <c r="D1712" s="216"/>
    </row>
    <row r="1713" ht="15">
      <c r="D1713" s="216"/>
    </row>
    <row r="1714" ht="15">
      <c r="D1714" s="216"/>
    </row>
    <row r="1715" ht="15">
      <c r="D1715" s="216"/>
    </row>
    <row r="1716" ht="15">
      <c r="D1716" s="216"/>
    </row>
    <row r="1717" ht="15">
      <c r="D1717" s="216"/>
    </row>
    <row r="1718" ht="15">
      <c r="D1718" s="216"/>
    </row>
    <row r="1719" ht="15">
      <c r="D1719" s="216"/>
    </row>
    <row r="1720" ht="15">
      <c r="D1720" s="216"/>
    </row>
    <row r="1721" ht="15">
      <c r="D1721" s="216"/>
    </row>
    <row r="1722" ht="15">
      <c r="D1722" s="216"/>
    </row>
    <row r="1723" ht="15">
      <c r="D1723" s="216"/>
    </row>
    <row r="1724" ht="15">
      <c r="D1724" s="216"/>
    </row>
    <row r="1725" ht="15">
      <c r="D1725" s="216"/>
    </row>
    <row r="1726" ht="15">
      <c r="D1726" s="216"/>
    </row>
    <row r="1727" ht="15">
      <c r="D1727" s="216"/>
    </row>
    <row r="1728" ht="15">
      <c r="D1728" s="216"/>
    </row>
    <row r="1729" ht="15">
      <c r="D1729" s="216"/>
    </row>
    <row r="1730" ht="15">
      <c r="D1730" s="216"/>
    </row>
    <row r="1731" ht="15">
      <c r="D1731" s="216"/>
    </row>
    <row r="1732" ht="15">
      <c r="D1732" s="216"/>
    </row>
    <row r="1733" ht="15">
      <c r="D1733" s="216"/>
    </row>
    <row r="1734" ht="15">
      <c r="D1734" s="216"/>
    </row>
    <row r="1735" ht="15">
      <c r="D1735" s="216"/>
    </row>
    <row r="1736" ht="15">
      <c r="D1736" s="216"/>
    </row>
    <row r="1737" ht="15">
      <c r="D1737" s="216"/>
    </row>
    <row r="1738" ht="15">
      <c r="D1738" s="216"/>
    </row>
    <row r="1739" ht="15">
      <c r="D1739" s="216"/>
    </row>
    <row r="1740" ht="15">
      <c r="D1740" s="216"/>
    </row>
    <row r="1741" ht="15">
      <c r="D1741" s="216"/>
    </row>
    <row r="1742" ht="15">
      <c r="D1742" s="216"/>
    </row>
    <row r="1743" ht="15">
      <c r="D1743" s="216"/>
    </row>
    <row r="1744" ht="15">
      <c r="D1744" s="216"/>
    </row>
    <row r="1745" ht="15">
      <c r="D1745" s="216"/>
    </row>
    <row r="1746" ht="15">
      <c r="D1746" s="216"/>
    </row>
    <row r="1747" ht="15">
      <c r="D1747" s="216"/>
    </row>
    <row r="1748" ht="15">
      <c r="D1748" s="216"/>
    </row>
    <row r="1749" ht="15">
      <c r="D1749" s="216"/>
    </row>
    <row r="1750" ht="15">
      <c r="D1750" s="216"/>
    </row>
    <row r="1751" ht="15">
      <c r="D1751" s="216"/>
    </row>
    <row r="1752" ht="15">
      <c r="D1752" s="216"/>
    </row>
    <row r="1753" ht="15">
      <c r="D1753" s="216"/>
    </row>
    <row r="1754" ht="15">
      <c r="D1754" s="216"/>
    </row>
    <row r="1755" ht="15">
      <c r="D1755" s="216"/>
    </row>
    <row r="1756" ht="15">
      <c r="D1756" s="216"/>
    </row>
    <row r="1757" ht="15">
      <c r="D1757" s="216"/>
    </row>
    <row r="1758" ht="15">
      <c r="D1758" s="216"/>
    </row>
    <row r="1759" ht="15">
      <c r="D1759" s="216"/>
    </row>
    <row r="1760" ht="15">
      <c r="D1760" s="216"/>
    </row>
    <row r="1761" ht="15">
      <c r="D1761" s="216"/>
    </row>
    <row r="1762" ht="15">
      <c r="D1762" s="216"/>
    </row>
    <row r="1763" ht="15">
      <c r="D1763" s="216"/>
    </row>
    <row r="1764" ht="15">
      <c r="D1764" s="216"/>
    </row>
    <row r="1765" ht="15">
      <c r="D1765" s="216"/>
    </row>
    <row r="1766" ht="15">
      <c r="D1766" s="216"/>
    </row>
    <row r="1767" ht="15">
      <c r="D1767" s="216"/>
    </row>
    <row r="1768" ht="15">
      <c r="D1768" s="216"/>
    </row>
    <row r="1769" ht="15">
      <c r="D1769" s="216"/>
    </row>
    <row r="1770" ht="15">
      <c r="D1770" s="216"/>
    </row>
    <row r="1771" ht="15">
      <c r="D1771" s="216"/>
    </row>
    <row r="1772" ht="15">
      <c r="D1772" s="216"/>
    </row>
    <row r="1773" ht="15">
      <c r="D1773" s="216"/>
    </row>
    <row r="1774" ht="15">
      <c r="D1774" s="216"/>
    </row>
    <row r="1775" ht="15">
      <c r="D1775" s="216"/>
    </row>
    <row r="1776" ht="15">
      <c r="D1776" s="216"/>
    </row>
    <row r="1777" ht="15">
      <c r="D1777" s="216"/>
    </row>
    <row r="1778" ht="15">
      <c r="D1778" s="216"/>
    </row>
    <row r="1779" ht="15">
      <c r="D1779" s="216"/>
    </row>
    <row r="1780" ht="15">
      <c r="D1780" s="216"/>
    </row>
    <row r="1781" ht="15">
      <c r="D1781" s="216"/>
    </row>
    <row r="1782" ht="15">
      <c r="D1782" s="216"/>
    </row>
    <row r="1783" ht="15">
      <c r="D1783" s="216"/>
    </row>
    <row r="1784" ht="15">
      <c r="D1784" s="216"/>
    </row>
    <row r="1785" ht="15">
      <c r="D1785" s="216"/>
    </row>
    <row r="1786" ht="15">
      <c r="D1786" s="216"/>
    </row>
    <row r="1787" ht="15">
      <c r="D1787" s="216"/>
    </row>
    <row r="1788" ht="15">
      <c r="D1788" s="216"/>
    </row>
    <row r="1789" ht="15">
      <c r="D1789" s="216"/>
    </row>
    <row r="1790" ht="15">
      <c r="D1790" s="216"/>
    </row>
    <row r="1791" ht="15">
      <c r="D1791" s="216"/>
    </row>
    <row r="1792" ht="15">
      <c r="D1792" s="216"/>
    </row>
    <row r="1793" ht="15">
      <c r="D1793" s="216"/>
    </row>
    <row r="1794" ht="15">
      <c r="D1794" s="216"/>
    </row>
    <row r="1795" ht="15">
      <c r="D1795" s="216"/>
    </row>
    <row r="1796" ht="15">
      <c r="D1796" s="216"/>
    </row>
    <row r="1797" ht="15">
      <c r="D1797" s="216"/>
    </row>
    <row r="1798" ht="15">
      <c r="D1798" s="216"/>
    </row>
    <row r="1799" ht="15">
      <c r="D1799" s="216"/>
    </row>
    <row r="1800" ht="15">
      <c r="D1800" s="216"/>
    </row>
    <row r="1801" ht="15">
      <c r="D1801" s="216"/>
    </row>
    <row r="1802" ht="15">
      <c r="D1802" s="216"/>
    </row>
    <row r="1803" ht="15">
      <c r="D1803" s="216"/>
    </row>
    <row r="1804" ht="15">
      <c r="D1804" s="216"/>
    </row>
    <row r="1805" ht="15">
      <c r="D1805" s="216"/>
    </row>
    <row r="1806" ht="15">
      <c r="D1806" s="216"/>
    </row>
    <row r="1807" ht="15">
      <c r="D1807" s="216"/>
    </row>
    <row r="1808" ht="15">
      <c r="D1808" s="216"/>
    </row>
    <row r="1809" ht="15">
      <c r="D1809" s="216"/>
    </row>
    <row r="1810" ht="15">
      <c r="D1810" s="216"/>
    </row>
    <row r="1811" ht="15">
      <c r="D1811" s="216"/>
    </row>
    <row r="1812" ht="15">
      <c r="D1812" s="216"/>
    </row>
    <row r="1813" ht="15">
      <c r="D1813" s="216"/>
    </row>
    <row r="1814" ht="15">
      <c r="D1814" s="216"/>
    </row>
    <row r="1815" ht="15">
      <c r="D1815" s="216"/>
    </row>
    <row r="1816" ht="15">
      <c r="D1816" s="216"/>
    </row>
    <row r="1817" ht="15">
      <c r="D1817" s="216"/>
    </row>
    <row r="1818" ht="15">
      <c r="D1818" s="216"/>
    </row>
    <row r="1819" ht="15">
      <c r="D1819" s="216"/>
    </row>
    <row r="1820" ht="15">
      <c r="D1820" s="216"/>
    </row>
    <row r="1821" ht="15">
      <c r="D1821" s="216"/>
    </row>
    <row r="1822" ht="15">
      <c r="D1822" s="216"/>
    </row>
    <row r="1823" ht="15">
      <c r="D1823" s="216"/>
    </row>
    <row r="1824" ht="15">
      <c r="D1824" s="216"/>
    </row>
    <row r="1825" ht="15">
      <c r="D1825" s="216"/>
    </row>
    <row r="1826" ht="15">
      <c r="D1826" s="216"/>
    </row>
    <row r="1827" ht="15">
      <c r="D1827" s="216"/>
    </row>
    <row r="1828" ht="15">
      <c r="D1828" s="216"/>
    </row>
    <row r="1829" ht="15">
      <c r="D1829" s="216"/>
    </row>
    <row r="1830" ht="15">
      <c r="D1830" s="216"/>
    </row>
    <row r="1831" ht="15">
      <c r="D1831" s="216"/>
    </row>
    <row r="1832" ht="15">
      <c r="D1832" s="216"/>
    </row>
    <row r="1833" ht="15">
      <c r="D1833" s="216"/>
    </row>
    <row r="1834" ht="15">
      <c r="D1834" s="216"/>
    </row>
    <row r="1835" ht="15">
      <c r="D1835" s="216"/>
    </row>
    <row r="1836" ht="15">
      <c r="D1836" s="216"/>
    </row>
    <row r="1837" ht="15">
      <c r="D1837" s="216"/>
    </row>
    <row r="1838" ht="15">
      <c r="D1838" s="216"/>
    </row>
    <row r="1839" ht="15">
      <c r="D1839" s="216"/>
    </row>
    <row r="1840" ht="15">
      <c r="D1840" s="216"/>
    </row>
    <row r="1841" ht="15">
      <c r="D1841" s="216"/>
    </row>
    <row r="1842" ht="15">
      <c r="D1842" s="216"/>
    </row>
    <row r="1843" ht="15">
      <c r="D1843" s="216"/>
    </row>
    <row r="1844" ht="15">
      <c r="D1844" s="216"/>
    </row>
    <row r="1845" ht="15">
      <c r="D1845" s="216"/>
    </row>
    <row r="1846" ht="15">
      <c r="D1846" s="216"/>
    </row>
    <row r="1847" ht="15">
      <c r="D1847" s="216"/>
    </row>
    <row r="1848" ht="15">
      <c r="D1848" s="216"/>
    </row>
    <row r="1849" ht="15">
      <c r="D1849" s="216"/>
    </row>
    <row r="1850" ht="15">
      <c r="D1850" s="216"/>
    </row>
    <row r="1851" ht="15">
      <c r="D1851" s="216"/>
    </row>
    <row r="1852" ht="15">
      <c r="D1852" s="216"/>
    </row>
    <row r="1853" ht="15">
      <c r="D1853" s="216"/>
    </row>
    <row r="1854" ht="15">
      <c r="D1854" s="216"/>
    </row>
    <row r="1855" ht="15">
      <c r="D1855" s="216"/>
    </row>
    <row r="1856" ht="15">
      <c r="D1856" s="216"/>
    </row>
    <row r="1857" ht="15">
      <c r="D1857" s="216"/>
    </row>
    <row r="1858" ht="15">
      <c r="D1858" s="216"/>
    </row>
    <row r="1859" ht="15">
      <c r="D1859" s="216"/>
    </row>
    <row r="1860" ht="15">
      <c r="D1860" s="216"/>
    </row>
    <row r="1861" ht="15">
      <c r="D1861" s="216"/>
    </row>
    <row r="1862" ht="15">
      <c r="D1862" s="216"/>
    </row>
    <row r="1863" ht="15">
      <c r="D1863" s="216"/>
    </row>
    <row r="1864" ht="15">
      <c r="D1864" s="216"/>
    </row>
    <row r="1865" ht="15">
      <c r="D1865" s="216"/>
    </row>
    <row r="1866" ht="15">
      <c r="D1866" s="216"/>
    </row>
    <row r="1867" ht="15">
      <c r="D1867" s="216"/>
    </row>
    <row r="1868" ht="15">
      <c r="D1868" s="216"/>
    </row>
    <row r="1869" ht="15">
      <c r="D1869" s="216"/>
    </row>
    <row r="1870" ht="15">
      <c r="D1870" s="216"/>
    </row>
    <row r="1871" ht="15">
      <c r="D1871" s="216"/>
    </row>
    <row r="1872" ht="15">
      <c r="D1872" s="216"/>
    </row>
    <row r="1873" ht="15">
      <c r="D1873" s="216"/>
    </row>
    <row r="1874" ht="15">
      <c r="D1874" s="216"/>
    </row>
    <row r="1875" ht="15">
      <c r="D1875" s="216"/>
    </row>
    <row r="1876" ht="15">
      <c r="D1876" s="216"/>
    </row>
    <row r="1877" ht="15">
      <c r="D1877" s="216"/>
    </row>
    <row r="1878" ht="15">
      <c r="D1878" s="216"/>
    </row>
    <row r="1879" ht="15">
      <c r="D1879" s="216"/>
    </row>
    <row r="1880" ht="15">
      <c r="D1880" s="216"/>
    </row>
    <row r="1881" ht="15">
      <c r="D1881" s="216"/>
    </row>
    <row r="1882" ht="15">
      <c r="D1882" s="216"/>
    </row>
    <row r="1883" ht="15">
      <c r="D1883" s="216"/>
    </row>
    <row r="1884" ht="15">
      <c r="D1884" s="216"/>
    </row>
    <row r="1885" ht="15">
      <c r="D1885" s="216"/>
    </row>
    <row r="1886" ht="15">
      <c r="D1886" s="216"/>
    </row>
    <row r="1887" ht="15">
      <c r="D1887" s="216"/>
    </row>
    <row r="1888" ht="15">
      <c r="D1888" s="216"/>
    </row>
    <row r="1889" ht="15">
      <c r="D1889" s="216"/>
    </row>
    <row r="1890" ht="15">
      <c r="D1890" s="216"/>
    </row>
    <row r="1891" ht="15">
      <c r="D1891" s="216"/>
    </row>
    <row r="1892" ht="15">
      <c r="D1892" s="216"/>
    </row>
    <row r="1893" ht="15">
      <c r="D1893" s="216"/>
    </row>
    <row r="1894" ht="15">
      <c r="D1894" s="216"/>
    </row>
    <row r="1895" ht="15">
      <c r="D1895" s="216"/>
    </row>
    <row r="1896" ht="15">
      <c r="D1896" s="216"/>
    </row>
    <row r="1897" ht="15">
      <c r="D1897" s="216"/>
    </row>
    <row r="1898" ht="15">
      <c r="D1898" s="216"/>
    </row>
    <row r="1899" ht="15">
      <c r="D1899" s="216"/>
    </row>
    <row r="1900" ht="15">
      <c r="D1900" s="216"/>
    </row>
    <row r="1901" ht="15">
      <c r="D1901" s="216"/>
    </row>
    <row r="1902" ht="15">
      <c r="D1902" s="216"/>
    </row>
    <row r="1903" ht="15">
      <c r="D1903" s="216"/>
    </row>
    <row r="1904" ht="15">
      <c r="D1904" s="216"/>
    </row>
    <row r="1905" ht="15">
      <c r="D1905" s="216"/>
    </row>
    <row r="1906" ht="15">
      <c r="D1906" s="216"/>
    </row>
    <row r="1907" ht="15">
      <c r="D1907" s="216"/>
    </row>
    <row r="1908" ht="15">
      <c r="D1908" s="216"/>
    </row>
    <row r="1909" ht="15">
      <c r="D1909" s="216"/>
    </row>
    <row r="1910" ht="15">
      <c r="D1910" s="216"/>
    </row>
    <row r="1911" ht="15">
      <c r="D1911" s="216"/>
    </row>
    <row r="1912" ht="15">
      <c r="D1912" s="216"/>
    </row>
    <row r="1913" ht="15">
      <c r="D1913" s="216"/>
    </row>
    <row r="1914" ht="15">
      <c r="D1914" s="216"/>
    </row>
    <row r="1915" ht="15">
      <c r="D1915" s="216"/>
    </row>
    <row r="1916" ht="15">
      <c r="D1916" s="216"/>
    </row>
    <row r="1917" ht="15">
      <c r="D1917" s="216"/>
    </row>
    <row r="1918" ht="15">
      <c r="D1918" s="216"/>
    </row>
    <row r="1919" ht="15">
      <c r="D1919" s="216"/>
    </row>
    <row r="1920" ht="15">
      <c r="D1920" s="216"/>
    </row>
    <row r="1921" ht="15">
      <c r="D1921" s="216"/>
    </row>
    <row r="1922" ht="15">
      <c r="D1922" s="216"/>
    </row>
    <row r="1923" ht="15">
      <c r="D1923" s="216"/>
    </row>
    <row r="1924" ht="15">
      <c r="D1924" s="216"/>
    </row>
    <row r="1925" ht="15">
      <c r="D1925" s="216"/>
    </row>
    <row r="1926" ht="15">
      <c r="D1926" s="216"/>
    </row>
    <row r="1927" ht="15">
      <c r="D1927" s="216"/>
    </row>
    <row r="1928" ht="15">
      <c r="D1928" s="216"/>
    </row>
    <row r="1929" ht="15">
      <c r="D1929" s="216"/>
    </row>
    <row r="1930" ht="15">
      <c r="D1930" s="216"/>
    </row>
    <row r="1931" ht="15">
      <c r="D1931" s="216"/>
    </row>
    <row r="1932" ht="15">
      <c r="D1932" s="216"/>
    </row>
    <row r="1933" ht="15">
      <c r="D1933" s="216"/>
    </row>
    <row r="1934" ht="15">
      <c r="D1934" s="216"/>
    </row>
    <row r="1935" ht="15">
      <c r="D1935" s="216"/>
    </row>
    <row r="1936" ht="15">
      <c r="D1936" s="216"/>
    </row>
    <row r="1937" ht="15">
      <c r="D1937" s="216"/>
    </row>
    <row r="1938" ht="15">
      <c r="D1938" s="216"/>
    </row>
    <row r="1939" ht="15">
      <c r="D1939" s="216"/>
    </row>
    <row r="1940" ht="15">
      <c r="D1940" s="216"/>
    </row>
    <row r="1941" ht="15">
      <c r="D1941" s="216"/>
    </row>
    <row r="1942" ht="15">
      <c r="D1942" s="216"/>
    </row>
    <row r="1943" ht="15">
      <c r="D1943" s="216"/>
    </row>
    <row r="1944" ht="15">
      <c r="D1944" s="216"/>
    </row>
    <row r="1945" ht="15">
      <c r="D1945" s="216"/>
    </row>
    <row r="1946" ht="15">
      <c r="D1946" s="216"/>
    </row>
    <row r="1947" ht="15">
      <c r="D1947" s="216"/>
    </row>
    <row r="1948" ht="15">
      <c r="D1948" s="216"/>
    </row>
    <row r="1949" ht="15">
      <c r="D1949" s="216"/>
    </row>
    <row r="1950" ht="15">
      <c r="D1950" s="216"/>
    </row>
    <row r="1951" ht="15">
      <c r="D1951" s="216"/>
    </row>
    <row r="1952" ht="15">
      <c r="D1952" s="216"/>
    </row>
    <row r="1953" ht="15">
      <c r="D1953" s="216"/>
    </row>
    <row r="1954" ht="15">
      <c r="D1954" s="216"/>
    </row>
    <row r="1955" ht="15">
      <c r="D1955" s="216"/>
    </row>
    <row r="1956" ht="15">
      <c r="D1956" s="216"/>
    </row>
    <row r="1957" ht="15">
      <c r="D1957" s="216"/>
    </row>
    <row r="1958" ht="15">
      <c r="D1958" s="216"/>
    </row>
    <row r="1959" ht="15">
      <c r="D1959" s="216"/>
    </row>
    <row r="1960" ht="15">
      <c r="D1960" s="216"/>
    </row>
    <row r="1961" ht="15">
      <c r="D1961" s="216"/>
    </row>
    <row r="1962" ht="15">
      <c r="D1962" s="216"/>
    </row>
    <row r="1963" ht="15">
      <c r="D1963" s="216"/>
    </row>
    <row r="1964" ht="15">
      <c r="D1964" s="216"/>
    </row>
    <row r="1965" ht="15">
      <c r="D1965" s="216"/>
    </row>
    <row r="1966" ht="15">
      <c r="D1966" s="216"/>
    </row>
    <row r="1967" ht="15">
      <c r="D1967" s="216"/>
    </row>
    <row r="1968" ht="15">
      <c r="D1968" s="216"/>
    </row>
    <row r="1969" ht="15">
      <c r="D1969" s="216"/>
    </row>
    <row r="1970" ht="15">
      <c r="D1970" s="216"/>
    </row>
    <row r="1971" ht="15">
      <c r="D1971" s="216"/>
    </row>
    <row r="1972" ht="15">
      <c r="D1972" s="216"/>
    </row>
    <row r="1973" ht="15">
      <c r="D1973" s="216"/>
    </row>
    <row r="1974" ht="15">
      <c r="D1974" s="216"/>
    </row>
    <row r="1975" ht="15">
      <c r="D1975" s="216"/>
    </row>
    <row r="1976" ht="15">
      <c r="D1976" s="216"/>
    </row>
    <row r="1977" ht="15">
      <c r="D1977" s="216"/>
    </row>
    <row r="1978" ht="15">
      <c r="D1978" s="216"/>
    </row>
    <row r="1979" ht="15">
      <c r="D1979" s="216"/>
    </row>
    <row r="1980" ht="15">
      <c r="D1980" s="216"/>
    </row>
    <row r="1981" ht="15">
      <c r="D1981" s="216"/>
    </row>
    <row r="1982" ht="15">
      <c r="D1982" s="216"/>
    </row>
    <row r="1983" ht="15">
      <c r="D1983" s="216"/>
    </row>
    <row r="1984" ht="15">
      <c r="D1984" s="216"/>
    </row>
    <row r="1985" ht="15">
      <c r="D1985" s="216"/>
    </row>
    <row r="1986" ht="15">
      <c r="D1986" s="216"/>
    </row>
    <row r="1987" ht="15">
      <c r="D1987" s="216"/>
    </row>
    <row r="1988" ht="15">
      <c r="D1988" s="216"/>
    </row>
    <row r="1989" ht="15">
      <c r="D1989" s="216"/>
    </row>
    <row r="1990" ht="15">
      <c r="D1990" s="216"/>
    </row>
    <row r="1991" ht="15">
      <c r="D1991" s="216"/>
    </row>
    <row r="1992" ht="15">
      <c r="D1992" s="216"/>
    </row>
    <row r="1993" ht="15">
      <c r="D1993" s="216"/>
    </row>
    <row r="1994" ht="15">
      <c r="D1994" s="216"/>
    </row>
    <row r="1995" ht="15">
      <c r="D1995" s="216"/>
    </row>
    <row r="1996" ht="15">
      <c r="D1996" s="216"/>
    </row>
    <row r="1997" ht="15">
      <c r="D1997" s="216"/>
    </row>
    <row r="1998" ht="15">
      <c r="D1998" s="216"/>
    </row>
    <row r="1999" ht="15">
      <c r="D1999" s="216"/>
    </row>
    <row r="2000" ht="15">
      <c r="D2000" s="216"/>
    </row>
    <row r="2001" ht="15">
      <c r="D2001" s="216"/>
    </row>
    <row r="2002" ht="15">
      <c r="D2002" s="216"/>
    </row>
    <row r="2003" ht="15">
      <c r="D2003" s="216"/>
    </row>
    <row r="2004" ht="15">
      <c r="D2004" s="216"/>
    </row>
    <row r="2005" ht="15">
      <c r="D2005" s="216"/>
    </row>
    <row r="2006" ht="15">
      <c r="D2006" s="216"/>
    </row>
    <row r="2007" ht="15">
      <c r="D2007" s="216"/>
    </row>
    <row r="2008" ht="15">
      <c r="D2008" s="216"/>
    </row>
    <row r="2009" ht="15">
      <c r="D2009" s="216"/>
    </row>
    <row r="2010" ht="15">
      <c r="D2010" s="216"/>
    </row>
    <row r="2011" ht="15">
      <c r="D2011" s="216"/>
    </row>
    <row r="2012" ht="15">
      <c r="D2012" s="216"/>
    </row>
    <row r="2013" ht="15">
      <c r="D2013" s="216"/>
    </row>
    <row r="2014" ht="15">
      <c r="D2014" s="216"/>
    </row>
    <row r="2015" ht="15">
      <c r="D2015" s="216"/>
    </row>
    <row r="2016" ht="15">
      <c r="D2016" s="216"/>
    </row>
    <row r="2017" ht="15">
      <c r="D2017" s="216"/>
    </row>
    <row r="2018" ht="15">
      <c r="D2018" s="216"/>
    </row>
    <row r="2019" ht="15">
      <c r="D2019" s="216"/>
    </row>
    <row r="2020" ht="15">
      <c r="D2020" s="216"/>
    </row>
    <row r="2021" ht="15">
      <c r="D2021" s="216"/>
    </row>
    <row r="2022" ht="15">
      <c r="D2022" s="216"/>
    </row>
    <row r="2023" ht="15">
      <c r="D2023" s="216"/>
    </row>
    <row r="2024" ht="15">
      <c r="D2024" s="216"/>
    </row>
    <row r="2025" ht="15">
      <c r="D2025" s="216"/>
    </row>
    <row r="2026" ht="15">
      <c r="D2026" s="216"/>
    </row>
    <row r="2027" ht="15">
      <c r="D2027" s="216"/>
    </row>
    <row r="2028" ht="15">
      <c r="D2028" s="216"/>
    </row>
    <row r="2029" ht="15">
      <c r="D2029" s="216"/>
    </row>
    <row r="2030" ht="15">
      <c r="D2030" s="216"/>
    </row>
    <row r="2031" ht="15">
      <c r="D2031" s="216"/>
    </row>
    <row r="2032" ht="15">
      <c r="D2032" s="216"/>
    </row>
    <row r="2033" ht="15">
      <c r="D2033" s="216"/>
    </row>
    <row r="2034" ht="15">
      <c r="D2034" s="216"/>
    </row>
    <row r="2035" ht="15">
      <c r="D2035" s="216"/>
    </row>
    <row r="2036" ht="15">
      <c r="D2036" s="216"/>
    </row>
    <row r="2037" ht="15">
      <c r="D2037" s="216"/>
    </row>
    <row r="2038" ht="15">
      <c r="D2038" s="216"/>
    </row>
    <row r="2039" ht="15">
      <c r="D2039" s="216"/>
    </row>
    <row r="2040" ht="15">
      <c r="D2040" s="216"/>
    </row>
    <row r="2041" ht="15">
      <c r="D2041" s="216"/>
    </row>
    <row r="2042" ht="15">
      <c r="D2042" s="216"/>
    </row>
    <row r="2043" ht="15">
      <c r="D2043" s="216"/>
    </row>
    <row r="2044" ht="15">
      <c r="D2044" s="216"/>
    </row>
    <row r="2045" ht="15">
      <c r="D2045" s="216"/>
    </row>
    <row r="2046" ht="15">
      <c r="D2046" s="216"/>
    </row>
    <row r="2047" ht="15">
      <c r="D2047" s="216"/>
    </row>
    <row r="2048" ht="15">
      <c r="D2048" s="216"/>
    </row>
    <row r="2049" ht="15">
      <c r="D2049" s="216"/>
    </row>
    <row r="2050" ht="15">
      <c r="D2050" s="216"/>
    </row>
    <row r="2051" ht="15">
      <c r="D2051" s="216"/>
    </row>
    <row r="2052" ht="15">
      <c r="D2052" s="216"/>
    </row>
    <row r="2053" ht="15">
      <c r="D2053" s="216"/>
    </row>
    <row r="2054" ht="15">
      <c r="D2054" s="216"/>
    </row>
    <row r="2055" ht="15">
      <c r="D2055" s="216"/>
    </row>
    <row r="2056" ht="15">
      <c r="D2056" s="216"/>
    </row>
    <row r="2057" ht="15">
      <c r="D2057" s="216"/>
    </row>
    <row r="2058" ht="15">
      <c r="D2058" s="216"/>
    </row>
    <row r="2059" ht="15">
      <c r="D2059" s="216"/>
    </row>
    <row r="2060" ht="15">
      <c r="D2060" s="216"/>
    </row>
    <row r="2061" ht="15">
      <c r="D2061" s="216"/>
    </row>
    <row r="2062" ht="15">
      <c r="D2062" s="216"/>
    </row>
    <row r="2063" ht="15">
      <c r="D2063" s="216"/>
    </row>
    <row r="2064" ht="15">
      <c r="D2064" s="216"/>
    </row>
    <row r="2065" ht="15">
      <c r="D2065" s="216"/>
    </row>
    <row r="2066" ht="15">
      <c r="D2066" s="216"/>
    </row>
    <row r="2067" ht="15">
      <c r="D2067" s="216"/>
    </row>
    <row r="2068" ht="15">
      <c r="D2068" s="216"/>
    </row>
    <row r="2069" ht="15">
      <c r="D2069" s="216"/>
    </row>
    <row r="2070" ht="15">
      <c r="D2070" s="216"/>
    </row>
    <row r="2071" ht="15">
      <c r="D2071" s="216"/>
    </row>
    <row r="2072" ht="15">
      <c r="D2072" s="216"/>
    </row>
    <row r="2073" ht="15">
      <c r="D2073" s="216"/>
    </row>
    <row r="2074" ht="15">
      <c r="D2074" s="216"/>
    </row>
    <row r="2075" ht="15">
      <c r="D2075" s="216"/>
    </row>
    <row r="2076" ht="15">
      <c r="D2076" s="216"/>
    </row>
    <row r="2077" ht="15">
      <c r="D2077" s="216"/>
    </row>
    <row r="2078" ht="15">
      <c r="D2078" s="216"/>
    </row>
    <row r="2079" ht="15">
      <c r="D2079" s="216"/>
    </row>
    <row r="2080" ht="15">
      <c r="D2080" s="216"/>
    </row>
    <row r="2081" ht="15">
      <c r="D2081" s="216"/>
    </row>
    <row r="2082" ht="15">
      <c r="D2082" s="216"/>
    </row>
    <row r="2083" ht="15">
      <c r="D2083" s="216"/>
    </row>
    <row r="2084" ht="15">
      <c r="D2084" s="216"/>
    </row>
    <row r="2085" ht="15">
      <c r="D2085" s="216"/>
    </row>
    <row r="2086" ht="15">
      <c r="D2086" s="216"/>
    </row>
    <row r="2087" ht="15">
      <c r="D2087" s="216"/>
    </row>
    <row r="2088" ht="15">
      <c r="D2088" s="216"/>
    </row>
    <row r="2089" ht="15">
      <c r="D2089" s="216"/>
    </row>
    <row r="2090" ht="15">
      <c r="D2090" s="216"/>
    </row>
    <row r="2091" ht="15">
      <c r="D2091" s="216"/>
    </row>
    <row r="2092" ht="15">
      <c r="D2092" s="216"/>
    </row>
    <row r="2093" ht="15">
      <c r="D2093" s="216"/>
    </row>
    <row r="2094" ht="15">
      <c r="D2094" s="216"/>
    </row>
    <row r="2095" ht="15">
      <c r="D2095" s="216"/>
    </row>
    <row r="2096" ht="15">
      <c r="D2096" s="216"/>
    </row>
    <row r="2097" ht="15">
      <c r="D2097" s="216"/>
    </row>
    <row r="2098" ht="15">
      <c r="D2098" s="216"/>
    </row>
    <row r="2099" ht="15">
      <c r="D2099" s="216"/>
    </row>
    <row r="2100" ht="15">
      <c r="D2100" s="216"/>
    </row>
    <row r="2101" ht="15">
      <c r="D2101" s="216"/>
    </row>
    <row r="2102" ht="15">
      <c r="D2102" s="216"/>
    </row>
    <row r="2103" ht="15">
      <c r="D2103" s="216"/>
    </row>
    <row r="2104" ht="15">
      <c r="D2104" s="216"/>
    </row>
    <row r="2105" ht="15">
      <c r="D2105" s="216"/>
    </row>
    <row r="2106" ht="15">
      <c r="D2106" s="216"/>
    </row>
    <row r="2107" ht="15">
      <c r="D2107" s="216"/>
    </row>
    <row r="2108" ht="15">
      <c r="D2108" s="216"/>
    </row>
    <row r="2109" ht="15">
      <c r="D2109" s="216"/>
    </row>
    <row r="2110" ht="15">
      <c r="D2110" s="216"/>
    </row>
    <row r="2111" ht="15">
      <c r="D2111" s="216"/>
    </row>
    <row r="2112" ht="15">
      <c r="D2112" s="216"/>
    </row>
    <row r="2113" ht="15">
      <c r="D2113" s="216"/>
    </row>
    <row r="2114" ht="15">
      <c r="D2114" s="216"/>
    </row>
    <row r="2115" ht="15">
      <c r="D2115" s="216"/>
    </row>
    <row r="2116" ht="15">
      <c r="D2116" s="216"/>
    </row>
    <row r="2117" ht="15">
      <c r="D2117" s="216"/>
    </row>
    <row r="2118" ht="15">
      <c r="D2118" s="216"/>
    </row>
    <row r="2119" ht="15">
      <c r="D2119" s="216"/>
    </row>
    <row r="2120" ht="15">
      <c r="D2120" s="216"/>
    </row>
    <row r="2121" ht="15">
      <c r="D2121" s="216"/>
    </row>
    <row r="2122" ht="15">
      <c r="D2122" s="216"/>
    </row>
    <row r="2123" ht="15">
      <c r="D2123" s="216"/>
    </row>
    <row r="2124" ht="15">
      <c r="D2124" s="216"/>
    </row>
    <row r="2125" ht="15">
      <c r="D2125" s="216"/>
    </row>
    <row r="2126" ht="15">
      <c r="D2126" s="216"/>
    </row>
    <row r="2127" ht="15">
      <c r="D2127" s="216"/>
    </row>
    <row r="2128" ht="15">
      <c r="D2128" s="216"/>
    </row>
    <row r="2129" ht="15">
      <c r="D2129" s="216"/>
    </row>
    <row r="2130" ht="15">
      <c r="D2130" s="216"/>
    </row>
    <row r="2131" ht="15">
      <c r="D2131" s="216"/>
    </row>
    <row r="2132" ht="15">
      <c r="D2132" s="216"/>
    </row>
    <row r="2133" ht="15">
      <c r="D2133" s="216"/>
    </row>
    <row r="2134" ht="15">
      <c r="D2134" s="216"/>
    </row>
    <row r="2135" ht="15">
      <c r="D2135" s="216"/>
    </row>
    <row r="2136" ht="15">
      <c r="D2136" s="216"/>
    </row>
    <row r="2137" ht="15">
      <c r="D2137" s="216"/>
    </row>
    <row r="2138" ht="15">
      <c r="D2138" s="216"/>
    </row>
    <row r="2139" ht="15">
      <c r="D2139" s="216"/>
    </row>
    <row r="2140" ht="15">
      <c r="D2140" s="216"/>
    </row>
    <row r="2141" ht="15">
      <c r="D2141" s="216"/>
    </row>
    <row r="2142" ht="15">
      <c r="D2142" s="216"/>
    </row>
    <row r="2143" ht="15">
      <c r="D2143" s="216"/>
    </row>
    <row r="2144" ht="15">
      <c r="D2144" s="216"/>
    </row>
    <row r="2145" ht="15">
      <c r="D2145" s="216"/>
    </row>
    <row r="2146" ht="15">
      <c r="D2146" s="216"/>
    </row>
    <row r="2147" ht="15">
      <c r="D2147" s="216"/>
    </row>
    <row r="2148" ht="15">
      <c r="D2148" s="216"/>
    </row>
    <row r="2149" ht="15">
      <c r="D2149" s="216"/>
    </row>
    <row r="2150" ht="15">
      <c r="D2150" s="216"/>
    </row>
    <row r="2151" ht="15">
      <c r="D2151" s="216"/>
    </row>
    <row r="2152" ht="15">
      <c r="D2152" s="216"/>
    </row>
    <row r="2153" ht="15">
      <c r="D2153" s="216"/>
    </row>
    <row r="2154" ht="15">
      <c r="D2154" s="216"/>
    </row>
    <row r="2155" ht="15">
      <c r="D2155" s="216"/>
    </row>
    <row r="2156" ht="15">
      <c r="D2156" s="216"/>
    </row>
    <row r="2157" ht="15">
      <c r="D2157" s="216"/>
    </row>
    <row r="2158" ht="15">
      <c r="D2158" s="216"/>
    </row>
    <row r="2159" ht="15">
      <c r="D2159" s="216"/>
    </row>
    <row r="2160" ht="15">
      <c r="D2160" s="216"/>
    </row>
    <row r="2161" ht="15">
      <c r="D2161" s="216"/>
    </row>
    <row r="2162" ht="15">
      <c r="D2162" s="216"/>
    </row>
    <row r="2163" ht="15">
      <c r="D2163" s="216"/>
    </row>
    <row r="2164" ht="15">
      <c r="D2164" s="216"/>
    </row>
    <row r="2165" ht="15">
      <c r="D2165" s="216"/>
    </row>
    <row r="2166" ht="15">
      <c r="D2166" s="216"/>
    </row>
    <row r="2167" ht="15">
      <c r="D2167" s="216"/>
    </row>
    <row r="2168" ht="15">
      <c r="D2168" s="216"/>
    </row>
    <row r="2169" ht="15">
      <c r="D2169" s="216"/>
    </row>
    <row r="2170" ht="15">
      <c r="D2170" s="216"/>
    </row>
    <row r="2171" ht="15">
      <c r="D2171" s="216"/>
    </row>
    <row r="2172" ht="15">
      <c r="D2172" s="216"/>
    </row>
    <row r="2173" ht="15">
      <c r="D2173" s="216"/>
    </row>
    <row r="2174" ht="15">
      <c r="D2174" s="216"/>
    </row>
    <row r="2175" ht="15">
      <c r="D2175" s="216"/>
    </row>
    <row r="2176" ht="15">
      <c r="D2176" s="216"/>
    </row>
    <row r="2177" ht="15">
      <c r="D2177" s="216"/>
    </row>
    <row r="2178" ht="15">
      <c r="D2178" s="216"/>
    </row>
    <row r="2179" ht="15">
      <c r="D2179" s="216"/>
    </row>
    <row r="2180" ht="15">
      <c r="D2180" s="216"/>
    </row>
    <row r="2181" ht="15">
      <c r="D2181" s="216"/>
    </row>
    <row r="2182" ht="15">
      <c r="D2182" s="216"/>
    </row>
    <row r="2183" ht="15">
      <c r="D2183" s="216"/>
    </row>
    <row r="2184" ht="15">
      <c r="D2184" s="216"/>
    </row>
    <row r="2185" ht="15">
      <c r="D2185" s="216"/>
    </row>
    <row r="2186" ht="15">
      <c r="D2186" s="216"/>
    </row>
    <row r="2187" ht="15">
      <c r="D2187" s="216"/>
    </row>
    <row r="2188" ht="15">
      <c r="D2188" s="216"/>
    </row>
    <row r="2189" ht="15">
      <c r="D2189" s="216"/>
    </row>
    <row r="2190" ht="15">
      <c r="D2190" s="216"/>
    </row>
    <row r="2191" ht="15">
      <c r="D2191" s="216"/>
    </row>
    <row r="2192" ht="15">
      <c r="D2192" s="216"/>
    </row>
    <row r="2193" ht="15">
      <c r="D2193" s="216"/>
    </row>
    <row r="2194" ht="15">
      <c r="D2194" s="216"/>
    </row>
    <row r="2195" ht="15">
      <c r="D2195" s="216"/>
    </row>
    <row r="2196" ht="15">
      <c r="D2196" s="216"/>
    </row>
    <row r="2197" ht="15">
      <c r="D2197" s="216"/>
    </row>
    <row r="2198" ht="15">
      <c r="D2198" s="216"/>
    </row>
    <row r="2199" ht="15">
      <c r="D2199" s="216"/>
    </row>
    <row r="2200" ht="15">
      <c r="D2200" s="216"/>
    </row>
    <row r="2201" ht="15">
      <c r="D2201" s="216"/>
    </row>
    <row r="2202" ht="15">
      <c r="D2202" s="216"/>
    </row>
    <row r="2203" ht="15">
      <c r="D2203" s="216"/>
    </row>
    <row r="2204" ht="15">
      <c r="D2204" s="216"/>
    </row>
    <row r="2205" ht="15">
      <c r="D2205" s="216"/>
    </row>
    <row r="2206" ht="15">
      <c r="D2206" s="216"/>
    </row>
    <row r="2207" ht="15">
      <c r="D2207" s="216"/>
    </row>
    <row r="2208" ht="15">
      <c r="D2208" s="216"/>
    </row>
    <row r="2209" ht="15">
      <c r="D2209" s="216"/>
    </row>
    <row r="2210" ht="15">
      <c r="D2210" s="216"/>
    </row>
    <row r="2211" ht="15">
      <c r="D2211" s="216"/>
    </row>
    <row r="2212" ht="15">
      <c r="D2212" s="216"/>
    </row>
    <row r="2213" ht="15">
      <c r="D2213" s="216"/>
    </row>
    <row r="2214" ht="15">
      <c r="D2214" s="216"/>
    </row>
    <row r="2215" ht="15">
      <c r="D2215" s="216"/>
    </row>
    <row r="2216" ht="15">
      <c r="D2216" s="216"/>
    </row>
    <row r="2217" ht="15">
      <c r="D2217" s="216"/>
    </row>
    <row r="2218" ht="15">
      <c r="D2218" s="216"/>
    </row>
    <row r="2219" ht="15">
      <c r="D2219" s="216"/>
    </row>
    <row r="2220" ht="15">
      <c r="D2220" s="216"/>
    </row>
    <row r="2221" ht="15">
      <c r="D2221" s="216"/>
    </row>
    <row r="2222" ht="15">
      <c r="D2222" s="216"/>
    </row>
    <row r="2223" ht="15">
      <c r="D2223" s="216"/>
    </row>
    <row r="2224" ht="15">
      <c r="D2224" s="216"/>
    </row>
    <row r="2225" ht="15">
      <c r="D2225" s="216"/>
    </row>
    <row r="2226" ht="15">
      <c r="D2226" s="216"/>
    </row>
    <row r="2227" ht="15">
      <c r="D2227" s="216"/>
    </row>
    <row r="2228" ht="15">
      <c r="D2228" s="216"/>
    </row>
    <row r="2229" ht="15">
      <c r="D2229" s="216"/>
    </row>
    <row r="2230" ht="15">
      <c r="D2230" s="216"/>
    </row>
    <row r="2231" ht="15">
      <c r="D2231" s="216"/>
    </row>
    <row r="2232" ht="15">
      <c r="D2232" s="216"/>
    </row>
    <row r="2233" ht="15">
      <c r="D2233" s="216"/>
    </row>
    <row r="2234" ht="15">
      <c r="D2234" s="216"/>
    </row>
    <row r="2235" ht="15">
      <c r="D2235" s="216"/>
    </row>
    <row r="2236" ht="15">
      <c r="D2236" s="216"/>
    </row>
    <row r="2237" ht="15">
      <c r="D2237" s="216"/>
    </row>
    <row r="2238" ht="15">
      <c r="D2238" s="216"/>
    </row>
    <row r="2239" ht="15">
      <c r="D2239" s="216"/>
    </row>
    <row r="2240" ht="15">
      <c r="D2240" s="216"/>
    </row>
    <row r="2241" ht="15">
      <c r="D2241" s="216"/>
    </row>
    <row r="2242" ht="15">
      <c r="D2242" s="216"/>
    </row>
    <row r="2243" ht="15">
      <c r="D2243" s="216"/>
    </row>
    <row r="2244" ht="15">
      <c r="D2244" s="216"/>
    </row>
    <row r="2245" ht="15">
      <c r="D2245" s="216"/>
    </row>
    <row r="2246" ht="15">
      <c r="D2246" s="216"/>
    </row>
    <row r="2247" ht="15">
      <c r="D2247" s="216"/>
    </row>
    <row r="2248" ht="15">
      <c r="D2248" s="216"/>
    </row>
    <row r="2249" ht="15">
      <c r="D2249" s="216"/>
    </row>
    <row r="2250" ht="15">
      <c r="D2250" s="216"/>
    </row>
    <row r="2251" ht="15">
      <c r="D2251" s="216"/>
    </row>
    <row r="2252" ht="15">
      <c r="D2252" s="216"/>
    </row>
    <row r="2253" ht="15">
      <c r="D2253" s="216"/>
    </row>
    <row r="2254" ht="15">
      <c r="D2254" s="216"/>
    </row>
    <row r="2255" ht="15">
      <c r="D2255" s="216"/>
    </row>
    <row r="2256" ht="15">
      <c r="D2256" s="216"/>
    </row>
    <row r="2257" ht="15">
      <c r="D2257" s="216"/>
    </row>
    <row r="2258" ht="15">
      <c r="D2258" s="216"/>
    </row>
    <row r="2259" ht="15">
      <c r="D2259" s="216"/>
    </row>
    <row r="2260" ht="15">
      <c r="D2260" s="216"/>
    </row>
    <row r="2261" ht="15">
      <c r="D2261" s="216"/>
    </row>
    <row r="2262" ht="15">
      <c r="D2262" s="216"/>
    </row>
    <row r="2263" ht="15">
      <c r="D2263" s="216"/>
    </row>
    <row r="2264" ht="15">
      <c r="D2264" s="216"/>
    </row>
    <row r="2265" ht="15">
      <c r="D2265" s="216"/>
    </row>
    <row r="2266" ht="15">
      <c r="D2266" s="216"/>
    </row>
    <row r="2267" ht="15">
      <c r="D2267" s="216"/>
    </row>
    <row r="2268" ht="15">
      <c r="D2268" s="216"/>
    </row>
    <row r="2269" ht="15">
      <c r="D2269" s="216"/>
    </row>
    <row r="2270" ht="15">
      <c r="D2270" s="216"/>
    </row>
    <row r="2271" ht="15">
      <c r="D2271" s="216"/>
    </row>
    <row r="2272" ht="15">
      <c r="D2272" s="216"/>
    </row>
    <row r="2273" ht="15">
      <c r="D2273" s="216"/>
    </row>
    <row r="2274" ht="15">
      <c r="D2274" s="216"/>
    </row>
    <row r="2275" ht="15">
      <c r="D2275" s="216"/>
    </row>
    <row r="2276" ht="15">
      <c r="D2276" s="216"/>
    </row>
    <row r="2277" ht="15">
      <c r="D2277" s="216"/>
    </row>
    <row r="2278" ht="15">
      <c r="D2278" s="216"/>
    </row>
    <row r="2279" ht="15">
      <c r="D2279" s="216"/>
    </row>
    <row r="2280" ht="15">
      <c r="D2280" s="216"/>
    </row>
    <row r="2281" ht="15">
      <c r="D2281" s="216"/>
    </row>
    <row r="2282" ht="15">
      <c r="D2282" s="216"/>
    </row>
    <row r="2283" ht="15">
      <c r="D2283" s="216"/>
    </row>
    <row r="2284" ht="15">
      <c r="D2284" s="216"/>
    </row>
    <row r="2285" ht="15">
      <c r="D2285" s="216"/>
    </row>
    <row r="2286" ht="15">
      <c r="D2286" s="216"/>
    </row>
    <row r="2287" ht="15">
      <c r="D2287" s="216"/>
    </row>
    <row r="2288" ht="15">
      <c r="D2288" s="216"/>
    </row>
    <row r="2289" ht="15">
      <c r="D2289" s="216"/>
    </row>
    <row r="2290" ht="15">
      <c r="D2290" s="216"/>
    </row>
    <row r="2291" ht="15">
      <c r="D2291" s="216"/>
    </row>
    <row r="2292" ht="15">
      <c r="D2292" s="216"/>
    </row>
    <row r="2293" ht="15">
      <c r="D2293" s="216"/>
    </row>
    <row r="2294" ht="15">
      <c r="D2294" s="216"/>
    </row>
    <row r="2295" ht="15">
      <c r="D2295" s="216"/>
    </row>
    <row r="2296" ht="15">
      <c r="D2296" s="216"/>
    </row>
    <row r="2297" ht="15">
      <c r="D2297" s="216"/>
    </row>
    <row r="2298" ht="15">
      <c r="D2298" s="216"/>
    </row>
    <row r="2299" ht="15">
      <c r="D2299" s="216"/>
    </row>
    <row r="2300" ht="15">
      <c r="D2300" s="216"/>
    </row>
    <row r="2301" ht="15">
      <c r="D2301" s="216"/>
    </row>
    <row r="2302" ht="15">
      <c r="D2302" s="216"/>
    </row>
    <row r="2303" ht="15">
      <c r="D2303" s="216"/>
    </row>
    <row r="2304" ht="15">
      <c r="D2304" s="216"/>
    </row>
    <row r="2305" ht="15">
      <c r="D2305" s="216"/>
    </row>
    <row r="2306" ht="15">
      <c r="D2306" s="216"/>
    </row>
    <row r="2307" ht="15">
      <c r="D2307" s="216"/>
    </row>
    <row r="2308" ht="15">
      <c r="D2308" s="216"/>
    </row>
    <row r="2309" ht="15">
      <c r="D2309" s="216"/>
    </row>
    <row r="2310" ht="15">
      <c r="D2310" s="216"/>
    </row>
    <row r="2311" ht="15">
      <c r="D2311" s="216"/>
    </row>
    <row r="2312" ht="15">
      <c r="D2312" s="216"/>
    </row>
    <row r="2313" ht="15">
      <c r="D2313" s="216"/>
    </row>
    <row r="2314" ht="15">
      <c r="D2314" s="216"/>
    </row>
    <row r="2315" ht="15">
      <c r="D2315" s="216"/>
    </row>
    <row r="2316" ht="15">
      <c r="D2316" s="216"/>
    </row>
    <row r="2317" ht="15">
      <c r="D2317" s="216"/>
    </row>
    <row r="2318" ht="15">
      <c r="D2318" s="216"/>
    </row>
    <row r="2319" ht="15">
      <c r="D2319" s="216"/>
    </row>
    <row r="2320" ht="15">
      <c r="D2320" s="216"/>
    </row>
    <row r="2321" ht="15">
      <c r="D2321" s="216"/>
    </row>
    <row r="2322" ht="15">
      <c r="D2322" s="216"/>
    </row>
    <row r="2323" ht="15">
      <c r="D2323" s="216"/>
    </row>
    <row r="2324" ht="15">
      <c r="D2324" s="216"/>
    </row>
    <row r="2325" ht="15">
      <c r="D2325" s="216"/>
    </row>
    <row r="2326" ht="15">
      <c r="D2326" s="216"/>
    </row>
    <row r="2327" ht="15">
      <c r="D2327" s="216"/>
    </row>
    <row r="2328" ht="15">
      <c r="D2328" s="216"/>
    </row>
    <row r="2329" ht="15">
      <c r="D2329" s="216"/>
    </row>
    <row r="2330" ht="15">
      <c r="D2330" s="216"/>
    </row>
    <row r="2331" ht="15">
      <c r="D2331" s="216"/>
    </row>
    <row r="2332" ht="15">
      <c r="D2332" s="216"/>
    </row>
    <row r="2333" ht="15">
      <c r="D2333" s="216"/>
    </row>
    <row r="2334" ht="15">
      <c r="D2334" s="216"/>
    </row>
    <row r="2335" ht="15">
      <c r="D2335" s="216"/>
    </row>
    <row r="2336" ht="15">
      <c r="D2336" s="216"/>
    </row>
    <row r="2337" ht="15">
      <c r="D2337" s="216"/>
    </row>
    <row r="2338" ht="15">
      <c r="D2338" s="216"/>
    </row>
    <row r="2339" ht="15">
      <c r="D2339" s="216"/>
    </row>
    <row r="2340" ht="15">
      <c r="D2340" s="216"/>
    </row>
    <row r="2341" ht="15">
      <c r="D2341" s="216"/>
    </row>
    <row r="2342" ht="15">
      <c r="D2342" s="216"/>
    </row>
    <row r="2343" ht="15">
      <c r="D2343" s="216"/>
    </row>
    <row r="2344" ht="15">
      <c r="D2344" s="216"/>
    </row>
    <row r="2345" ht="15">
      <c r="D2345" s="216"/>
    </row>
    <row r="2346" ht="15">
      <c r="D2346" s="216"/>
    </row>
    <row r="2347" ht="15">
      <c r="D2347" s="216"/>
    </row>
    <row r="2348" ht="15">
      <c r="D2348" s="216"/>
    </row>
    <row r="2349" ht="15">
      <c r="D2349" s="216"/>
    </row>
    <row r="2350" ht="15">
      <c r="D2350" s="216"/>
    </row>
    <row r="2351" ht="15">
      <c r="D2351" s="216"/>
    </row>
    <row r="2352" ht="15">
      <c r="D2352" s="216"/>
    </row>
    <row r="2353" ht="15">
      <c r="D2353" s="216"/>
    </row>
    <row r="2354" ht="15">
      <c r="D2354" s="216"/>
    </row>
    <row r="2355" ht="15">
      <c r="D2355" s="216"/>
    </row>
    <row r="2356" ht="15">
      <c r="D2356" s="216"/>
    </row>
    <row r="2357" ht="15">
      <c r="D2357" s="216"/>
    </row>
    <row r="2358" ht="15">
      <c r="D2358" s="216"/>
    </row>
    <row r="2359" ht="15">
      <c r="D2359" s="216"/>
    </row>
    <row r="2360" ht="15">
      <c r="D2360" s="216"/>
    </row>
    <row r="2361" ht="15">
      <c r="D2361" s="216"/>
    </row>
    <row r="2362" ht="15">
      <c r="D2362" s="216"/>
    </row>
    <row r="2363" ht="15">
      <c r="D2363" s="216"/>
    </row>
    <row r="2364" ht="15">
      <c r="D2364" s="216"/>
    </row>
    <row r="2365" ht="15">
      <c r="D2365" s="216"/>
    </row>
    <row r="2366" ht="15">
      <c r="D2366" s="216"/>
    </row>
    <row r="2367" ht="15">
      <c r="D2367" s="216"/>
    </row>
    <row r="2368" ht="15">
      <c r="D2368" s="216"/>
    </row>
    <row r="2369" ht="15">
      <c r="D2369" s="216"/>
    </row>
    <row r="2370" ht="15">
      <c r="D2370" s="216"/>
    </row>
    <row r="2371" ht="15">
      <c r="D2371" s="216"/>
    </row>
    <row r="2372" ht="15">
      <c r="D2372" s="216"/>
    </row>
    <row r="2373" ht="15">
      <c r="D2373" s="216"/>
    </row>
    <row r="2374" ht="15">
      <c r="D2374" s="216"/>
    </row>
    <row r="2375" ht="15">
      <c r="D2375" s="216"/>
    </row>
    <row r="2376" ht="15">
      <c r="D2376" s="216"/>
    </row>
    <row r="2377" ht="15">
      <c r="D2377" s="216"/>
    </row>
    <row r="2378" ht="15">
      <c r="D2378" s="216"/>
    </row>
    <row r="2379" ht="15">
      <c r="D2379" s="216"/>
    </row>
    <row r="2380" ht="15">
      <c r="D2380" s="216"/>
    </row>
    <row r="2381" ht="15">
      <c r="D2381" s="216"/>
    </row>
    <row r="2382" ht="15">
      <c r="D2382" s="216"/>
    </row>
    <row r="2383" ht="15">
      <c r="D2383" s="216"/>
    </row>
    <row r="2384" ht="15">
      <c r="D2384" s="216"/>
    </row>
    <row r="2385" ht="15">
      <c r="D2385" s="216"/>
    </row>
    <row r="2386" ht="15">
      <c r="D2386" s="216"/>
    </row>
    <row r="2387" ht="15">
      <c r="D2387" s="216"/>
    </row>
    <row r="2388" ht="15">
      <c r="D2388" s="216"/>
    </row>
    <row r="2389" ht="15">
      <c r="D2389" s="216"/>
    </row>
    <row r="2390" ht="15">
      <c r="D2390" s="216"/>
    </row>
    <row r="2391" ht="15">
      <c r="D2391" s="216"/>
    </row>
    <row r="2392" ht="15">
      <c r="D2392" s="216"/>
    </row>
    <row r="2393" ht="15">
      <c r="D2393" s="216"/>
    </row>
    <row r="2394" ht="15">
      <c r="D2394" s="216"/>
    </row>
    <row r="2395" ht="15">
      <c r="D2395" s="216"/>
    </row>
    <row r="2396" ht="15">
      <c r="D2396" s="216"/>
    </row>
    <row r="2397" ht="15">
      <c r="D2397" s="216"/>
    </row>
    <row r="2398" ht="15">
      <c r="D2398" s="216"/>
    </row>
    <row r="2399" ht="15">
      <c r="D2399" s="216"/>
    </row>
    <row r="2400" ht="15">
      <c r="D2400" s="216"/>
    </row>
    <row r="2401" ht="15">
      <c r="D2401" s="216"/>
    </row>
    <row r="2402" ht="15">
      <c r="D2402" s="216"/>
    </row>
    <row r="2403" ht="15">
      <c r="D2403" s="216"/>
    </row>
    <row r="2404" ht="15">
      <c r="D2404" s="216"/>
    </row>
    <row r="2405" ht="15">
      <c r="D2405" s="216"/>
    </row>
    <row r="2406" ht="15">
      <c r="D2406" s="216"/>
    </row>
    <row r="2407" ht="15">
      <c r="D2407" s="216"/>
    </row>
    <row r="2408" ht="15">
      <c r="D2408" s="216"/>
    </row>
    <row r="2409" ht="15">
      <c r="D2409" s="216"/>
    </row>
    <row r="2410" ht="15">
      <c r="D2410" s="216"/>
    </row>
    <row r="2411" ht="15">
      <c r="D2411" s="216"/>
    </row>
    <row r="2412" ht="15">
      <c r="D2412" s="216"/>
    </row>
    <row r="2413" ht="15">
      <c r="D2413" s="216"/>
    </row>
    <row r="2414" ht="15">
      <c r="D2414" s="216"/>
    </row>
    <row r="2415" ht="15">
      <c r="D2415" s="216"/>
    </row>
    <row r="2416" ht="15">
      <c r="D2416" s="216"/>
    </row>
    <row r="2417" ht="15">
      <c r="D2417" s="216"/>
    </row>
    <row r="2418" ht="15">
      <c r="D2418" s="216"/>
    </row>
    <row r="2419" ht="15">
      <c r="D2419" s="216"/>
    </row>
    <row r="2420" ht="15">
      <c r="D2420" s="216"/>
    </row>
    <row r="2421" ht="15">
      <c r="D2421" s="216"/>
    </row>
    <row r="2422" ht="15">
      <c r="D2422" s="216"/>
    </row>
    <row r="2423" ht="15">
      <c r="D2423" s="216"/>
    </row>
    <row r="2424" ht="15">
      <c r="D2424" s="216"/>
    </row>
    <row r="2425" ht="15">
      <c r="D2425" s="216"/>
    </row>
    <row r="2426" ht="15">
      <c r="D2426" s="216"/>
    </row>
    <row r="2427" ht="15">
      <c r="D2427" s="216"/>
    </row>
    <row r="2428" ht="15">
      <c r="D2428" s="216"/>
    </row>
    <row r="2429" ht="15">
      <c r="D2429" s="216"/>
    </row>
    <row r="2430" ht="15">
      <c r="D2430" s="216"/>
    </row>
    <row r="2431" ht="15">
      <c r="D2431" s="216"/>
    </row>
    <row r="2432" ht="15">
      <c r="D2432" s="216"/>
    </row>
    <row r="2433" ht="15">
      <c r="D2433" s="216"/>
    </row>
    <row r="2434" ht="15">
      <c r="D2434" s="216"/>
    </row>
    <row r="2435" ht="15">
      <c r="D2435" s="216"/>
    </row>
    <row r="2436" ht="15">
      <c r="D2436" s="216"/>
    </row>
    <row r="2437" ht="15">
      <c r="D2437" s="216"/>
    </row>
    <row r="2438" ht="15">
      <c r="D2438" s="216"/>
    </row>
    <row r="2439" ht="15">
      <c r="D2439" s="216"/>
    </row>
    <row r="2440" ht="15">
      <c r="D2440" s="216"/>
    </row>
    <row r="2441" ht="15">
      <c r="D2441" s="216"/>
    </row>
    <row r="2442" ht="15">
      <c r="D2442" s="216"/>
    </row>
    <row r="2443" ht="15">
      <c r="D2443" s="216"/>
    </row>
    <row r="2444" ht="15">
      <c r="D2444" s="216"/>
    </row>
    <row r="2445" ht="15">
      <c r="D2445" s="216"/>
    </row>
    <row r="2446" ht="15">
      <c r="D2446" s="216"/>
    </row>
    <row r="2447" ht="15">
      <c r="D2447" s="216"/>
    </row>
    <row r="2448" ht="15">
      <c r="D2448" s="216"/>
    </row>
    <row r="2449" ht="15">
      <c r="D2449" s="216"/>
    </row>
    <row r="2450" ht="15">
      <c r="D2450" s="216"/>
    </row>
    <row r="2451" ht="15">
      <c r="D2451" s="216"/>
    </row>
    <row r="2452" ht="15">
      <c r="D2452" s="216"/>
    </row>
    <row r="2453" ht="15">
      <c r="D2453" s="216"/>
    </row>
    <row r="2454" ht="15">
      <c r="D2454" s="216"/>
    </row>
    <row r="2455" ht="15">
      <c r="D2455" s="216"/>
    </row>
    <row r="2456" ht="15">
      <c r="D2456" s="216"/>
    </row>
    <row r="2457" ht="15">
      <c r="D2457" s="216"/>
    </row>
    <row r="2458" ht="15">
      <c r="D2458" s="216"/>
    </row>
    <row r="2459" ht="15">
      <c r="D2459" s="216"/>
    </row>
    <row r="2460" ht="15">
      <c r="D2460" s="216"/>
    </row>
    <row r="2461" ht="15">
      <c r="D2461" s="216"/>
    </row>
    <row r="2462" ht="15">
      <c r="D2462" s="216"/>
    </row>
    <row r="2463" ht="15">
      <c r="D2463" s="216"/>
    </row>
    <row r="2464" ht="15">
      <c r="D2464" s="216"/>
    </row>
    <row r="2465" ht="15">
      <c r="D2465" s="216"/>
    </row>
    <row r="2466" ht="15">
      <c r="D2466" s="216"/>
    </row>
    <row r="2467" ht="15">
      <c r="D2467" s="216"/>
    </row>
    <row r="2468" ht="15">
      <c r="D2468" s="216"/>
    </row>
    <row r="2469" ht="15">
      <c r="D2469" s="216"/>
    </row>
    <row r="2470" ht="15">
      <c r="D2470" s="216"/>
    </row>
    <row r="2471" ht="15">
      <c r="D2471" s="216"/>
    </row>
    <row r="2472" ht="15">
      <c r="D2472" s="216"/>
    </row>
    <row r="2473" ht="15">
      <c r="D2473" s="216"/>
    </row>
    <row r="2474" ht="15">
      <c r="D2474" s="216"/>
    </row>
    <row r="2475" ht="15">
      <c r="D2475" s="216"/>
    </row>
    <row r="2476" ht="15">
      <c r="D2476" s="216"/>
    </row>
    <row r="2477" ht="15">
      <c r="D2477" s="216"/>
    </row>
    <row r="2478" ht="15">
      <c r="D2478" s="216"/>
    </row>
    <row r="2479" ht="15">
      <c r="D2479" s="216"/>
    </row>
    <row r="2480" ht="15">
      <c r="D2480" s="216"/>
    </row>
    <row r="2481" ht="15">
      <c r="D2481" s="216"/>
    </row>
    <row r="2482" ht="15">
      <c r="D2482" s="216"/>
    </row>
    <row r="2483" ht="15">
      <c r="D2483" s="216"/>
    </row>
    <row r="2484" ht="15">
      <c r="D2484" s="216"/>
    </row>
    <row r="2485" ht="15">
      <c r="D2485" s="216"/>
    </row>
    <row r="2486" ht="15">
      <c r="D2486" s="216"/>
    </row>
    <row r="2487" ht="15">
      <c r="D2487" s="216"/>
    </row>
    <row r="2488" ht="15">
      <c r="D2488" s="216"/>
    </row>
    <row r="2489" ht="15">
      <c r="D2489" s="216"/>
    </row>
    <row r="2490" ht="15">
      <c r="D2490" s="216"/>
    </row>
    <row r="2491" ht="15">
      <c r="D2491" s="216"/>
    </row>
    <row r="2492" ht="15">
      <c r="D2492" s="216"/>
    </row>
    <row r="2493" ht="15">
      <c r="D2493" s="216"/>
    </row>
    <row r="2494" ht="15">
      <c r="D2494" s="216"/>
    </row>
    <row r="2495" ht="15">
      <c r="D2495" s="216"/>
    </row>
    <row r="2496" ht="15">
      <c r="D2496" s="216"/>
    </row>
    <row r="2497" ht="15">
      <c r="D2497" s="216"/>
    </row>
    <row r="2498" ht="15">
      <c r="D2498" s="216"/>
    </row>
    <row r="2499" ht="15">
      <c r="D2499" s="216"/>
    </row>
    <row r="2500" ht="15">
      <c r="D2500" s="216"/>
    </row>
    <row r="2501" ht="15">
      <c r="D2501" s="216"/>
    </row>
    <row r="2502" ht="15">
      <c r="D2502" s="216"/>
    </row>
    <row r="2503" ht="15">
      <c r="D2503" s="216"/>
    </row>
    <row r="2504" ht="15">
      <c r="D2504" s="216"/>
    </row>
    <row r="2505" ht="15">
      <c r="D2505" s="216"/>
    </row>
    <row r="2506" ht="15">
      <c r="D2506" s="216"/>
    </row>
    <row r="2507" ht="15">
      <c r="D2507" s="216"/>
    </row>
    <row r="2508" ht="15">
      <c r="D2508" s="216"/>
    </row>
    <row r="2509" ht="15">
      <c r="D2509" s="216"/>
    </row>
    <row r="2510" ht="15">
      <c r="D2510" s="216"/>
    </row>
    <row r="2511" ht="15">
      <c r="D2511" s="216"/>
    </row>
    <row r="2512" ht="15">
      <c r="D2512" s="216"/>
    </row>
    <row r="2513" ht="15">
      <c r="D2513" s="216"/>
    </row>
    <row r="2514" ht="15">
      <c r="D2514" s="216"/>
    </row>
    <row r="2515" ht="15">
      <c r="D2515" s="216"/>
    </row>
    <row r="2516" ht="15">
      <c r="D2516" s="216"/>
    </row>
    <row r="2517" ht="15">
      <c r="D2517" s="216"/>
    </row>
    <row r="2518" ht="15">
      <c r="D2518" s="216"/>
    </row>
    <row r="2519" ht="15">
      <c r="D2519" s="216"/>
    </row>
    <row r="2520" ht="15">
      <c r="D2520" s="216"/>
    </row>
    <row r="2521" ht="15">
      <c r="D2521" s="216"/>
    </row>
    <row r="2522" ht="15">
      <c r="D2522" s="216"/>
    </row>
    <row r="2523" ht="15">
      <c r="D2523" s="216"/>
    </row>
    <row r="2524" ht="15">
      <c r="D2524" s="216"/>
    </row>
    <row r="2525" ht="15">
      <c r="D2525" s="216"/>
    </row>
    <row r="2526" ht="15">
      <c r="D2526" s="216"/>
    </row>
    <row r="2527" ht="15">
      <c r="D2527" s="216"/>
    </row>
    <row r="2528" ht="15">
      <c r="D2528" s="216"/>
    </row>
    <row r="2529" ht="15">
      <c r="D2529" s="216"/>
    </row>
    <row r="2530" ht="15">
      <c r="D2530" s="216"/>
    </row>
    <row r="2531" ht="15">
      <c r="D2531" s="216"/>
    </row>
    <row r="2532" ht="15">
      <c r="D2532" s="216"/>
    </row>
    <row r="2533" ht="15">
      <c r="D2533" s="216"/>
    </row>
    <row r="2534" ht="15">
      <c r="D2534" s="216"/>
    </row>
    <row r="2535" ht="15">
      <c r="D2535" s="216"/>
    </row>
    <row r="2536" ht="15">
      <c r="D2536" s="216"/>
    </row>
    <row r="2537" ht="15">
      <c r="D2537" s="216"/>
    </row>
    <row r="2538" ht="15">
      <c r="D2538" s="216"/>
    </row>
    <row r="2539" ht="15">
      <c r="D2539" s="216"/>
    </row>
    <row r="2540" ht="15">
      <c r="D2540" s="216"/>
    </row>
    <row r="2541" ht="15">
      <c r="D2541" s="216"/>
    </row>
    <row r="2542" ht="15">
      <c r="D2542" s="216"/>
    </row>
    <row r="2543" ht="15">
      <c r="D2543" s="216"/>
    </row>
    <row r="2544" ht="15">
      <c r="D2544" s="216"/>
    </row>
    <row r="2545" ht="15">
      <c r="D2545" s="216"/>
    </row>
    <row r="2546" ht="15">
      <c r="D2546" s="216"/>
    </row>
    <row r="2547" ht="15">
      <c r="D2547" s="216"/>
    </row>
    <row r="2548" ht="15">
      <c r="D2548" s="216"/>
    </row>
    <row r="2549" ht="15">
      <c r="D2549" s="216"/>
    </row>
    <row r="2550" ht="15">
      <c r="D2550" s="216"/>
    </row>
    <row r="2551" ht="15">
      <c r="D2551" s="216"/>
    </row>
    <row r="2552" ht="15">
      <c r="D2552" s="216"/>
    </row>
    <row r="2553" ht="15">
      <c r="D2553" s="216"/>
    </row>
    <row r="2554" ht="15">
      <c r="D2554" s="216"/>
    </row>
    <row r="2555" ht="15">
      <c r="D2555" s="216"/>
    </row>
    <row r="2556" ht="15">
      <c r="D2556" s="216"/>
    </row>
    <row r="2557" ht="15">
      <c r="D2557" s="216"/>
    </row>
    <row r="2558" ht="15">
      <c r="D2558" s="216"/>
    </row>
    <row r="2559" ht="15">
      <c r="D2559" s="216"/>
    </row>
    <row r="2560" ht="15">
      <c r="D2560" s="216"/>
    </row>
    <row r="2561" ht="15">
      <c r="D2561" s="216"/>
    </row>
    <row r="2562" ht="15">
      <c r="D2562" s="216"/>
    </row>
    <row r="2563" ht="15">
      <c r="D2563" s="216"/>
    </row>
    <row r="2564" ht="15">
      <c r="D2564" s="216"/>
    </row>
    <row r="2565" ht="15">
      <c r="D2565" s="216"/>
    </row>
    <row r="2566" ht="15">
      <c r="D2566" s="216"/>
    </row>
    <row r="2567" ht="15">
      <c r="D2567" s="216"/>
    </row>
    <row r="2568" ht="15">
      <c r="D2568" s="216"/>
    </row>
    <row r="2569" ht="15">
      <c r="D2569" s="216"/>
    </row>
    <row r="2570" ht="15">
      <c r="D2570" s="216"/>
    </row>
    <row r="2571" ht="15">
      <c r="D2571" s="216"/>
    </row>
    <row r="2572" ht="15">
      <c r="D2572" s="216"/>
    </row>
    <row r="2573" ht="15">
      <c r="D2573" s="216"/>
    </row>
    <row r="2574" ht="15">
      <c r="D2574" s="216"/>
    </row>
    <row r="2575" ht="15">
      <c r="D2575" s="216"/>
    </row>
    <row r="2576" ht="15">
      <c r="D2576" s="216"/>
    </row>
    <row r="2577" ht="15">
      <c r="D2577" s="216"/>
    </row>
    <row r="2578" ht="15">
      <c r="D2578" s="216"/>
    </row>
    <row r="2579" ht="15">
      <c r="D2579" s="216"/>
    </row>
    <row r="2580" ht="15">
      <c r="D2580" s="216"/>
    </row>
    <row r="2581" ht="15">
      <c r="D2581" s="216"/>
    </row>
    <row r="2582" ht="15">
      <c r="D2582" s="216"/>
    </row>
    <row r="2583" ht="15">
      <c r="D2583" s="216"/>
    </row>
    <row r="2584" ht="15">
      <c r="D2584" s="216"/>
    </row>
    <row r="2585" ht="15">
      <c r="D2585" s="216"/>
    </row>
    <row r="2586" ht="15">
      <c r="D2586" s="216"/>
    </row>
    <row r="2587" ht="15">
      <c r="D2587" s="216"/>
    </row>
    <row r="2588" ht="15">
      <c r="D2588" s="216"/>
    </row>
    <row r="2589" ht="15">
      <c r="D2589" s="216"/>
    </row>
    <row r="2590" ht="15">
      <c r="D2590" s="216"/>
    </row>
    <row r="2591" ht="15">
      <c r="D2591" s="216"/>
    </row>
    <row r="2592" ht="15">
      <c r="D2592" s="216"/>
    </row>
    <row r="2593" ht="15">
      <c r="D2593" s="216"/>
    </row>
    <row r="2594" ht="15">
      <c r="D2594" s="216"/>
    </row>
    <row r="2595" ht="15">
      <c r="D2595" s="216"/>
    </row>
    <row r="2596" ht="15">
      <c r="D2596" s="216"/>
    </row>
    <row r="2597" ht="15">
      <c r="D2597" s="216"/>
    </row>
    <row r="2598" ht="15">
      <c r="D2598" s="216"/>
    </row>
    <row r="2599" ht="15">
      <c r="D2599" s="216"/>
    </row>
    <row r="2600" ht="15">
      <c r="D2600" s="216"/>
    </row>
    <row r="2601" ht="15">
      <c r="D2601" s="216"/>
    </row>
    <row r="2602" ht="15">
      <c r="D2602" s="216"/>
    </row>
    <row r="2603" ht="15">
      <c r="D2603" s="216"/>
    </row>
    <row r="2604" ht="15">
      <c r="D2604" s="216"/>
    </row>
    <row r="2605" ht="15">
      <c r="D2605" s="216"/>
    </row>
    <row r="2606" ht="15">
      <c r="D2606" s="216"/>
    </row>
    <row r="2607" ht="15">
      <c r="D2607" s="216"/>
    </row>
    <row r="2608" ht="15">
      <c r="D2608" s="216"/>
    </row>
    <row r="2609" ht="15">
      <c r="D2609" s="216"/>
    </row>
    <row r="2610" ht="15">
      <c r="D2610" s="216"/>
    </row>
    <row r="2611" ht="15">
      <c r="D2611" s="216"/>
    </row>
    <row r="2612" ht="15">
      <c r="D2612" s="216"/>
    </row>
    <row r="2613" ht="15">
      <c r="D2613" s="216"/>
    </row>
    <row r="2614" ht="15">
      <c r="D2614" s="216"/>
    </row>
    <row r="2615" ht="15">
      <c r="D2615" s="216"/>
    </row>
    <row r="2616" ht="15">
      <c r="D2616" s="216"/>
    </row>
    <row r="2617" ht="15">
      <c r="D2617" s="216"/>
    </row>
    <row r="2618" ht="15">
      <c r="D2618" s="216"/>
    </row>
    <row r="2619" ht="15">
      <c r="D2619" s="216"/>
    </row>
    <row r="2620" ht="15">
      <c r="D2620" s="216"/>
    </row>
    <row r="2621" ht="15">
      <c r="D2621" s="216"/>
    </row>
    <row r="2622" ht="15">
      <c r="D2622" s="216"/>
    </row>
    <row r="2623" ht="15">
      <c r="D2623" s="216"/>
    </row>
    <row r="2624" ht="15">
      <c r="D2624" s="216"/>
    </row>
    <row r="2625" ht="15">
      <c r="D2625" s="216"/>
    </row>
    <row r="2626" ht="15">
      <c r="D2626" s="216"/>
    </row>
    <row r="2627" ht="15">
      <c r="D2627" s="216"/>
    </row>
    <row r="2628" ht="15">
      <c r="D2628" s="216"/>
    </row>
    <row r="2629" ht="15">
      <c r="D2629" s="216"/>
    </row>
    <row r="2630" ht="15">
      <c r="D2630" s="216"/>
    </row>
    <row r="2631" ht="15">
      <c r="D2631" s="216"/>
    </row>
    <row r="2632" ht="15">
      <c r="D2632" s="216"/>
    </row>
    <row r="2633" ht="15">
      <c r="D2633" s="216"/>
    </row>
    <row r="2634" ht="15">
      <c r="D2634" s="216"/>
    </row>
    <row r="2635" ht="15">
      <c r="D2635" s="216"/>
    </row>
    <row r="2636" ht="15">
      <c r="D2636" s="216"/>
    </row>
    <row r="2637" ht="15">
      <c r="D2637" s="216"/>
    </row>
    <row r="2638" ht="15">
      <c r="D2638" s="216"/>
    </row>
    <row r="2639" ht="15">
      <c r="D2639" s="216"/>
    </row>
    <row r="2640" ht="15">
      <c r="D2640" s="216"/>
    </row>
    <row r="2641" ht="15">
      <c r="D2641" s="216"/>
    </row>
    <row r="2642" ht="15">
      <c r="D2642" s="216"/>
    </row>
    <row r="2643" ht="15">
      <c r="D2643" s="216"/>
    </row>
    <row r="2644" ht="15">
      <c r="D2644" s="216"/>
    </row>
    <row r="2645" ht="15">
      <c r="D2645" s="216"/>
    </row>
    <row r="2646" ht="15">
      <c r="D2646" s="216"/>
    </row>
    <row r="2647" ht="15">
      <c r="D2647" s="216"/>
    </row>
    <row r="2648" ht="15">
      <c r="D2648" s="216"/>
    </row>
    <row r="2649" ht="15">
      <c r="D2649" s="216"/>
    </row>
    <row r="2650" ht="15">
      <c r="D2650" s="216"/>
    </row>
    <row r="2651" ht="15">
      <c r="D2651" s="216"/>
    </row>
    <row r="2652" ht="15">
      <c r="D2652" s="216"/>
    </row>
    <row r="2653" ht="15">
      <c r="D2653" s="216"/>
    </row>
    <row r="2654" ht="15">
      <c r="D2654" s="216"/>
    </row>
    <row r="2655" ht="15">
      <c r="D2655" s="216"/>
    </row>
    <row r="2656" ht="15">
      <c r="D2656" s="216"/>
    </row>
    <row r="2657" ht="15">
      <c r="D2657" s="216"/>
    </row>
    <row r="2658" ht="15">
      <c r="D2658" s="216"/>
    </row>
    <row r="2659" ht="15">
      <c r="D2659" s="216"/>
    </row>
    <row r="2660" ht="15">
      <c r="D2660" s="216"/>
    </row>
    <row r="2661" ht="15">
      <c r="D2661" s="216"/>
    </row>
    <row r="2662" ht="15">
      <c r="D2662" s="216"/>
    </row>
    <row r="2663" ht="15">
      <c r="D2663" s="216"/>
    </row>
    <row r="2664" ht="15">
      <c r="D2664" s="216"/>
    </row>
    <row r="2665" ht="15">
      <c r="D2665" s="216"/>
    </row>
    <row r="2666" ht="15">
      <c r="D2666" s="216"/>
    </row>
    <row r="2667" ht="15">
      <c r="D2667" s="216"/>
    </row>
    <row r="2668" ht="15">
      <c r="D2668" s="216"/>
    </row>
    <row r="2669" ht="15">
      <c r="D2669" s="216"/>
    </row>
    <row r="2670" ht="15">
      <c r="D2670" s="216"/>
    </row>
    <row r="2671" ht="15">
      <c r="D2671" s="216"/>
    </row>
    <row r="2672" ht="15">
      <c r="D2672" s="216"/>
    </row>
    <row r="2673" ht="15">
      <c r="D2673" s="216"/>
    </row>
    <row r="2674" ht="15">
      <c r="D2674" s="216"/>
    </row>
    <row r="2675" ht="15">
      <c r="D2675" s="216"/>
    </row>
    <row r="2676" ht="15">
      <c r="D2676" s="216"/>
    </row>
    <row r="2677" ht="15">
      <c r="D2677" s="216"/>
    </row>
    <row r="2678" ht="15">
      <c r="D2678" s="216"/>
    </row>
    <row r="2679" ht="15">
      <c r="D2679" s="216"/>
    </row>
    <row r="2680" ht="15">
      <c r="D2680" s="216"/>
    </row>
    <row r="2681" ht="15">
      <c r="D2681" s="216"/>
    </row>
    <row r="2682" ht="15">
      <c r="D2682" s="216"/>
    </row>
    <row r="2683" ht="15">
      <c r="D2683" s="216"/>
    </row>
    <row r="2684" ht="15">
      <c r="D2684" s="216"/>
    </row>
    <row r="2685" ht="15">
      <c r="D2685" s="216"/>
    </row>
    <row r="2686" ht="15">
      <c r="D2686" s="216"/>
    </row>
    <row r="2687" ht="15">
      <c r="D2687" s="216"/>
    </row>
    <row r="2688" ht="15">
      <c r="D2688" s="216"/>
    </row>
    <row r="2689" ht="15">
      <c r="D2689" s="216"/>
    </row>
    <row r="2690" ht="15">
      <c r="D2690" s="216"/>
    </row>
    <row r="2691" ht="15">
      <c r="D2691" s="216"/>
    </row>
    <row r="2692" ht="15">
      <c r="D2692" s="216"/>
    </row>
    <row r="2693" ht="15">
      <c r="D2693" s="216"/>
    </row>
    <row r="2694" ht="15">
      <c r="D2694" s="216"/>
    </row>
    <row r="2695" ht="15">
      <c r="D2695" s="216"/>
    </row>
    <row r="2696" ht="15">
      <c r="D2696" s="216"/>
    </row>
    <row r="2697" ht="15">
      <c r="D2697" s="216"/>
    </row>
    <row r="2698" ht="15">
      <c r="D2698" s="216"/>
    </row>
    <row r="2699" ht="15">
      <c r="D2699" s="216"/>
    </row>
    <row r="2700" ht="15">
      <c r="D2700" s="216"/>
    </row>
    <row r="2701" ht="15">
      <c r="D2701" s="216"/>
    </row>
    <row r="2702" ht="15">
      <c r="D2702" s="216"/>
    </row>
    <row r="2703" ht="15">
      <c r="D2703" s="216"/>
    </row>
    <row r="2704" ht="15">
      <c r="D2704" s="216"/>
    </row>
    <row r="2705" ht="15">
      <c r="D2705" s="216"/>
    </row>
    <row r="2706" ht="15">
      <c r="D2706" s="216"/>
    </row>
    <row r="2707" ht="15">
      <c r="D2707" s="216"/>
    </row>
    <row r="2708" ht="15">
      <c r="D2708" s="216"/>
    </row>
    <row r="2709" ht="15">
      <c r="D2709" s="216"/>
    </row>
    <row r="2710" ht="15">
      <c r="D2710" s="216"/>
    </row>
    <row r="2711" ht="15">
      <c r="D2711" s="216"/>
    </row>
    <row r="2712" ht="15">
      <c r="D2712" s="216"/>
    </row>
    <row r="2713" ht="15">
      <c r="D2713" s="216"/>
    </row>
    <row r="2714" ht="15">
      <c r="D2714" s="216"/>
    </row>
    <row r="2715" ht="15">
      <c r="D2715" s="216"/>
    </row>
    <row r="2716" ht="15">
      <c r="D2716" s="216"/>
    </row>
    <row r="2717" ht="15">
      <c r="D2717" s="216"/>
    </row>
    <row r="2718" ht="15">
      <c r="D2718" s="216"/>
    </row>
    <row r="2719" ht="15">
      <c r="D2719" s="216"/>
    </row>
    <row r="2720" ht="15">
      <c r="D2720" s="216"/>
    </row>
    <row r="2721" ht="15">
      <c r="D2721" s="216"/>
    </row>
    <row r="2722" ht="15">
      <c r="D2722" s="216"/>
    </row>
    <row r="2723" ht="15">
      <c r="D2723" s="216"/>
    </row>
    <row r="2724" ht="15">
      <c r="D2724" s="216"/>
    </row>
    <row r="2725" ht="15">
      <c r="D2725" s="216"/>
    </row>
    <row r="2726" ht="15">
      <c r="D2726" s="216"/>
    </row>
    <row r="2727" ht="15">
      <c r="D2727" s="216"/>
    </row>
    <row r="2728" ht="15">
      <c r="D2728" s="216"/>
    </row>
    <row r="2729" ht="15">
      <c r="D2729" s="216"/>
    </row>
    <row r="2730" ht="15">
      <c r="D2730" s="216"/>
    </row>
    <row r="2731" ht="15">
      <c r="D2731" s="216"/>
    </row>
    <row r="2732" ht="15">
      <c r="D2732" s="216"/>
    </row>
    <row r="2733" ht="15">
      <c r="D2733" s="216"/>
    </row>
    <row r="2734" ht="15">
      <c r="D2734" s="216"/>
    </row>
    <row r="2735" ht="15">
      <c r="D2735" s="216"/>
    </row>
    <row r="2736" ht="15">
      <c r="D2736" s="216"/>
    </row>
    <row r="2737" ht="15">
      <c r="D2737" s="216"/>
    </row>
    <row r="2738" ht="15">
      <c r="D2738" s="216"/>
    </row>
    <row r="2739" ht="15">
      <c r="D2739" s="216"/>
    </row>
    <row r="2740" ht="15">
      <c r="D2740" s="216"/>
    </row>
    <row r="2741" ht="15">
      <c r="D2741" s="216"/>
    </row>
    <row r="2742" ht="15">
      <c r="D2742" s="216"/>
    </row>
    <row r="2743" ht="15">
      <c r="D2743" s="216"/>
    </row>
    <row r="2744" ht="15">
      <c r="D2744" s="216"/>
    </row>
    <row r="2745" ht="15">
      <c r="D2745" s="216"/>
    </row>
    <row r="2746" ht="15">
      <c r="D2746" s="216"/>
    </row>
    <row r="2747" ht="15">
      <c r="D2747" s="216"/>
    </row>
    <row r="2748" ht="15">
      <c r="D2748" s="216"/>
    </row>
    <row r="2749" ht="15">
      <c r="D2749" s="216"/>
    </row>
    <row r="2750" ht="15">
      <c r="D2750" s="216"/>
    </row>
    <row r="2751" ht="15">
      <c r="D2751" s="216"/>
    </row>
    <row r="2752" ht="15">
      <c r="D2752" s="216"/>
    </row>
    <row r="2753" ht="15">
      <c r="D2753" s="216"/>
    </row>
    <row r="2754" ht="15">
      <c r="D2754" s="216"/>
    </row>
    <row r="2755" ht="15">
      <c r="D2755" s="216"/>
    </row>
    <row r="2756" ht="15">
      <c r="D2756" s="216"/>
    </row>
    <row r="2757" ht="15">
      <c r="D2757" s="216"/>
    </row>
    <row r="2758" ht="15">
      <c r="D2758" s="216"/>
    </row>
    <row r="2759" ht="15">
      <c r="D2759" s="216"/>
    </row>
    <row r="2760" ht="15">
      <c r="D2760" s="216"/>
    </row>
    <row r="2761" ht="15">
      <c r="D2761" s="216"/>
    </row>
    <row r="2762" ht="15">
      <c r="D2762" s="216"/>
    </row>
    <row r="2763" ht="15">
      <c r="D2763" s="216"/>
    </row>
    <row r="2764" ht="15">
      <c r="D2764" s="216"/>
    </row>
    <row r="2765" ht="15">
      <c r="D2765" s="216"/>
    </row>
    <row r="2766" ht="15">
      <c r="D2766" s="216"/>
    </row>
    <row r="2767" ht="15">
      <c r="D2767" s="216"/>
    </row>
    <row r="2768" ht="15">
      <c r="D2768" s="216"/>
    </row>
    <row r="2769" ht="15">
      <c r="D2769" s="216"/>
    </row>
    <row r="2770" ht="15">
      <c r="D2770" s="216"/>
    </row>
    <row r="2771" ht="15">
      <c r="D2771" s="216"/>
    </row>
    <row r="2772" ht="15">
      <c r="D2772" s="216"/>
    </row>
    <row r="2773" ht="15">
      <c r="D2773" s="216"/>
    </row>
    <row r="2774" ht="15">
      <c r="D2774" s="216"/>
    </row>
    <row r="2775" ht="15">
      <c r="D2775" s="216"/>
    </row>
    <row r="2776" ht="15">
      <c r="D2776" s="216"/>
    </row>
    <row r="2777" ht="15">
      <c r="D2777" s="216"/>
    </row>
    <row r="2778" ht="15">
      <c r="D2778" s="216"/>
    </row>
    <row r="2779" ht="15">
      <c r="D2779" s="216"/>
    </row>
    <row r="2780" ht="15">
      <c r="D2780" s="216"/>
    </row>
    <row r="2781" ht="15">
      <c r="D2781" s="216"/>
    </row>
    <row r="2782" ht="15">
      <c r="D2782" s="216"/>
    </row>
    <row r="2783" ht="15">
      <c r="D2783" s="216"/>
    </row>
    <row r="2784" ht="15">
      <c r="D2784" s="216"/>
    </row>
    <row r="2785" ht="15">
      <c r="D2785" s="216"/>
    </row>
    <row r="2786" ht="15">
      <c r="D2786" s="216"/>
    </row>
    <row r="2787" ht="15">
      <c r="D2787" s="216"/>
    </row>
    <row r="2788" ht="15">
      <c r="D2788" s="216"/>
    </row>
    <row r="2789" ht="15">
      <c r="D2789" s="216"/>
    </row>
    <row r="2790" ht="15">
      <c r="D2790" s="216"/>
    </row>
    <row r="2791" ht="15">
      <c r="D2791" s="216"/>
    </row>
    <row r="2792" ht="15">
      <c r="D2792" s="216"/>
    </row>
    <row r="2793" ht="15">
      <c r="D2793" s="216"/>
    </row>
    <row r="2794" ht="15">
      <c r="D2794" s="216"/>
    </row>
    <row r="2795" ht="15">
      <c r="D2795" s="216"/>
    </row>
    <row r="2796" ht="15">
      <c r="D2796" s="216"/>
    </row>
    <row r="2797" ht="15">
      <c r="D2797" s="216"/>
    </row>
    <row r="2798" ht="15">
      <c r="D2798" s="216"/>
    </row>
    <row r="2799" ht="15">
      <c r="D2799" s="216"/>
    </row>
    <row r="2800" ht="15">
      <c r="D2800" s="216"/>
    </row>
    <row r="2801" ht="15">
      <c r="D2801" s="216"/>
    </row>
    <row r="2802" ht="15">
      <c r="D2802" s="216"/>
    </row>
    <row r="2803" ht="15">
      <c r="D2803" s="216"/>
    </row>
    <row r="2804" ht="15">
      <c r="D2804" s="216"/>
    </row>
    <row r="2805" ht="15">
      <c r="D2805" s="216"/>
    </row>
    <row r="2806" ht="15">
      <c r="D2806" s="216"/>
    </row>
    <row r="2807" ht="15">
      <c r="D2807" s="216"/>
    </row>
    <row r="2808" ht="15">
      <c r="D2808" s="216"/>
    </row>
    <row r="2809" ht="15">
      <c r="D2809" s="216"/>
    </row>
    <row r="2810" ht="15">
      <c r="D2810" s="216"/>
    </row>
    <row r="2811" ht="15">
      <c r="D2811" s="216"/>
    </row>
    <row r="2812" ht="15">
      <c r="D2812" s="216"/>
    </row>
    <row r="2813" ht="15">
      <c r="D2813" s="216"/>
    </row>
    <row r="2814" ht="15">
      <c r="D2814" s="216"/>
    </row>
    <row r="2815" ht="15">
      <c r="D2815" s="216"/>
    </row>
    <row r="2816" ht="15">
      <c r="D2816" s="216"/>
    </row>
    <row r="2817" ht="15">
      <c r="D2817" s="216"/>
    </row>
    <row r="2818" ht="15">
      <c r="D2818" s="216"/>
    </row>
    <row r="2819" ht="15">
      <c r="D2819" s="216"/>
    </row>
    <row r="2820" ht="15">
      <c r="D2820" s="216"/>
    </row>
    <row r="2821" ht="15">
      <c r="D2821" s="216"/>
    </row>
    <row r="2822" ht="15">
      <c r="D2822" s="216"/>
    </row>
    <row r="2823" ht="15">
      <c r="D2823" s="216"/>
    </row>
    <row r="2824" ht="15">
      <c r="D2824" s="216"/>
    </row>
    <row r="2825" ht="15">
      <c r="D2825" s="216"/>
    </row>
    <row r="2826" ht="15">
      <c r="D2826" s="216"/>
    </row>
    <row r="2827" ht="15">
      <c r="D2827" s="216"/>
    </row>
    <row r="2828" ht="15">
      <c r="D2828" s="216"/>
    </row>
    <row r="2829" ht="15">
      <c r="D2829" s="216"/>
    </row>
    <row r="2830" ht="15">
      <c r="D2830" s="216"/>
    </row>
    <row r="2831" ht="15">
      <c r="D2831" s="216"/>
    </row>
    <row r="2832" ht="15">
      <c r="D2832" s="216"/>
    </row>
    <row r="2833" ht="15">
      <c r="D2833" s="216"/>
    </row>
    <row r="2834" ht="15">
      <c r="D2834" s="216"/>
    </row>
    <row r="2835" ht="15">
      <c r="D2835" s="216"/>
    </row>
    <row r="2836" ht="15">
      <c r="D2836" s="216"/>
    </row>
    <row r="2837" ht="15">
      <c r="D2837" s="216"/>
    </row>
    <row r="2838" ht="15">
      <c r="D2838" s="216"/>
    </row>
    <row r="2839" ht="15">
      <c r="D2839" s="216"/>
    </row>
    <row r="2840" ht="15">
      <c r="D2840" s="216"/>
    </row>
    <row r="2841" ht="15">
      <c r="D2841" s="216"/>
    </row>
    <row r="2842" ht="15">
      <c r="D2842" s="216"/>
    </row>
    <row r="2843" ht="15">
      <c r="D2843" s="216"/>
    </row>
    <row r="2844" ht="15">
      <c r="D2844" s="216"/>
    </row>
    <row r="2845" ht="15">
      <c r="D2845" s="216"/>
    </row>
    <row r="2846" ht="15">
      <c r="D2846" s="216"/>
    </row>
    <row r="2847" ht="15">
      <c r="D2847" s="216"/>
    </row>
    <row r="2848" ht="15">
      <c r="D2848" s="216"/>
    </row>
    <row r="2849" ht="15">
      <c r="D2849" s="216"/>
    </row>
    <row r="2850" ht="15">
      <c r="D2850" s="216"/>
    </row>
    <row r="2851" ht="15">
      <c r="D2851" s="216"/>
    </row>
    <row r="2852" ht="15">
      <c r="D2852" s="216"/>
    </row>
    <row r="2853" ht="15">
      <c r="D2853" s="216"/>
    </row>
    <row r="2854" ht="15">
      <c r="D2854" s="216"/>
    </row>
    <row r="2855" ht="15">
      <c r="D2855" s="216"/>
    </row>
    <row r="2856" ht="15">
      <c r="D2856" s="216"/>
    </row>
    <row r="2857" ht="15">
      <c r="D2857" s="216"/>
    </row>
    <row r="2858" ht="15">
      <c r="D2858" s="216"/>
    </row>
    <row r="2859" ht="15">
      <c r="D2859" s="216"/>
    </row>
    <row r="2860" ht="15">
      <c r="D2860" s="216"/>
    </row>
    <row r="2861" ht="15">
      <c r="D2861" s="216"/>
    </row>
    <row r="2862" ht="15">
      <c r="D2862" s="216"/>
    </row>
    <row r="2863" ht="15">
      <c r="D2863" s="216"/>
    </row>
    <row r="2864" ht="15">
      <c r="D2864" s="216"/>
    </row>
    <row r="2865" ht="15">
      <c r="D2865" s="216"/>
    </row>
    <row r="2866" ht="15">
      <c r="D2866" s="216"/>
    </row>
    <row r="2867" ht="15">
      <c r="D2867" s="216"/>
    </row>
    <row r="2868" ht="15">
      <c r="D2868" s="216"/>
    </row>
    <row r="2869" ht="15">
      <c r="D2869" s="216"/>
    </row>
    <row r="2870" ht="15">
      <c r="D2870" s="216"/>
    </row>
    <row r="2871" ht="15">
      <c r="D2871" s="216"/>
    </row>
    <row r="2872" ht="15">
      <c r="D2872" s="216"/>
    </row>
    <row r="2873" ht="15">
      <c r="D2873" s="216"/>
    </row>
    <row r="2874" ht="15">
      <c r="D2874" s="216"/>
    </row>
    <row r="2875" ht="15">
      <c r="D2875" s="216"/>
    </row>
    <row r="2876" ht="15">
      <c r="D2876" s="216"/>
    </row>
    <row r="2877" ht="15">
      <c r="D2877" s="216"/>
    </row>
    <row r="2878" ht="15">
      <c r="D2878" s="216"/>
    </row>
    <row r="2879" ht="15">
      <c r="D2879" s="216"/>
    </row>
    <row r="2880" ht="15">
      <c r="D2880" s="216"/>
    </row>
    <row r="2881" ht="15">
      <c r="D2881" s="216"/>
    </row>
    <row r="2882" ht="15">
      <c r="D2882" s="216"/>
    </row>
    <row r="2883" ht="15">
      <c r="D2883" s="216"/>
    </row>
    <row r="2884" ht="15">
      <c r="D2884" s="216"/>
    </row>
    <row r="2885" ht="15">
      <c r="D2885" s="216"/>
    </row>
    <row r="2886" ht="15">
      <c r="D2886" s="216"/>
    </row>
    <row r="2887" ht="15">
      <c r="D2887" s="216"/>
    </row>
    <row r="2888" ht="15">
      <c r="D2888" s="216"/>
    </row>
    <row r="2889" ht="15">
      <c r="D2889" s="216"/>
    </row>
    <row r="2890" ht="15">
      <c r="D2890" s="216"/>
    </row>
    <row r="2891" ht="15">
      <c r="D2891" s="216"/>
    </row>
    <row r="2892" ht="15">
      <c r="D2892" s="216"/>
    </row>
    <row r="2893" ht="15">
      <c r="D2893" s="216"/>
    </row>
    <row r="2894" ht="15">
      <c r="D2894" s="216"/>
    </row>
    <row r="2895" ht="15">
      <c r="D2895" s="216"/>
    </row>
    <row r="2896" ht="15">
      <c r="D2896" s="216"/>
    </row>
    <row r="2897" ht="15">
      <c r="D2897" s="216"/>
    </row>
    <row r="2898" ht="15">
      <c r="D2898" s="216"/>
    </row>
    <row r="2899" ht="15">
      <c r="D2899" s="216"/>
    </row>
    <row r="2900" ht="15">
      <c r="D2900" s="216"/>
    </row>
    <row r="2901" ht="15">
      <c r="D2901" s="216"/>
    </row>
    <row r="2902" ht="15">
      <c r="D2902" s="216"/>
    </row>
    <row r="2903" ht="15">
      <c r="D2903" s="216"/>
    </row>
    <row r="2904" ht="15">
      <c r="D2904" s="216"/>
    </row>
    <row r="2905" ht="15">
      <c r="D2905" s="216"/>
    </row>
    <row r="2906" ht="15">
      <c r="D2906" s="216"/>
    </row>
    <row r="2907" ht="15">
      <c r="D2907" s="216"/>
    </row>
    <row r="2908" ht="15">
      <c r="D2908" s="216"/>
    </row>
    <row r="2909" ht="15">
      <c r="D2909" s="216"/>
    </row>
    <row r="2910" ht="15">
      <c r="D2910" s="216"/>
    </row>
    <row r="2911" ht="15">
      <c r="D2911" s="216"/>
    </row>
    <row r="2912" ht="15">
      <c r="D2912" s="216"/>
    </row>
    <row r="2913" ht="15">
      <c r="D2913" s="216"/>
    </row>
    <row r="2914" ht="15">
      <c r="D2914" s="216"/>
    </row>
    <row r="2915" ht="15">
      <c r="D2915" s="216"/>
    </row>
    <row r="2916" ht="15">
      <c r="D2916" s="216"/>
    </row>
    <row r="2917" ht="15">
      <c r="D2917" s="216"/>
    </row>
    <row r="2918" ht="15">
      <c r="D2918" s="216"/>
    </row>
    <row r="2919" ht="15">
      <c r="D2919" s="216"/>
    </row>
    <row r="2920" ht="15">
      <c r="D2920" s="216"/>
    </row>
    <row r="2921" ht="15">
      <c r="D2921" s="216"/>
    </row>
    <row r="2922" ht="15">
      <c r="D2922" s="216"/>
    </row>
    <row r="2923" ht="15">
      <c r="D2923" s="216"/>
    </row>
    <row r="2924" ht="15">
      <c r="D2924" s="216"/>
    </row>
    <row r="2925" ht="15">
      <c r="D2925" s="216"/>
    </row>
    <row r="2926" ht="15">
      <c r="D2926" s="216"/>
    </row>
    <row r="2927" ht="15">
      <c r="D2927" s="216"/>
    </row>
    <row r="2928" ht="15">
      <c r="D2928" s="216"/>
    </row>
    <row r="2929" ht="15">
      <c r="D2929" s="216"/>
    </row>
    <row r="2930" ht="15">
      <c r="D2930" s="216"/>
    </row>
    <row r="2931" ht="15">
      <c r="D2931" s="216"/>
    </row>
    <row r="2932" ht="15">
      <c r="D2932" s="216"/>
    </row>
    <row r="2933" ht="15">
      <c r="D2933" s="216"/>
    </row>
    <row r="2934" ht="15">
      <c r="D2934" s="216"/>
    </row>
    <row r="2935" ht="15">
      <c r="D2935" s="216"/>
    </row>
    <row r="2936" ht="15">
      <c r="D2936" s="216"/>
    </row>
    <row r="2937" ht="15">
      <c r="D2937" s="216"/>
    </row>
    <row r="2938" ht="15">
      <c r="D2938" s="216"/>
    </row>
    <row r="2939" ht="15">
      <c r="D2939" s="216"/>
    </row>
    <row r="2940" ht="15">
      <c r="D2940" s="216"/>
    </row>
    <row r="2941" ht="15">
      <c r="D2941" s="216"/>
    </row>
    <row r="2942" ht="15">
      <c r="D2942" s="216"/>
    </row>
    <row r="2943" ht="15">
      <c r="D2943" s="216"/>
    </row>
    <row r="2944" ht="15">
      <c r="D2944" s="216"/>
    </row>
    <row r="2945" ht="15">
      <c r="D2945" s="216"/>
    </row>
    <row r="2946" ht="15">
      <c r="D2946" s="216"/>
    </row>
    <row r="2947" ht="15">
      <c r="D2947" s="216"/>
    </row>
    <row r="2948" ht="15">
      <c r="D2948" s="216"/>
    </row>
    <row r="2949" ht="15">
      <c r="D2949" s="216"/>
    </row>
    <row r="2950" ht="15">
      <c r="D2950" s="216"/>
    </row>
    <row r="2951" ht="15">
      <c r="D2951" s="216"/>
    </row>
    <row r="2952" ht="15">
      <c r="D2952" s="216"/>
    </row>
    <row r="2953" ht="15">
      <c r="D2953" s="216"/>
    </row>
    <row r="2954" ht="15">
      <c r="D2954" s="216"/>
    </row>
    <row r="2955" ht="15">
      <c r="D2955" s="216"/>
    </row>
    <row r="2956" ht="15">
      <c r="D2956" s="216"/>
    </row>
    <row r="2957" ht="15">
      <c r="D2957" s="216"/>
    </row>
    <row r="2958" ht="15">
      <c r="D2958" s="216"/>
    </row>
    <row r="2959" ht="15">
      <c r="D2959" s="216"/>
    </row>
    <row r="2960" ht="15">
      <c r="D2960" s="216"/>
    </row>
    <row r="2961" ht="15">
      <c r="D2961" s="216"/>
    </row>
    <row r="2962" ht="15">
      <c r="D2962" s="216"/>
    </row>
    <row r="2963" ht="15">
      <c r="D2963" s="216"/>
    </row>
    <row r="2964" ht="15">
      <c r="D2964" s="216"/>
    </row>
    <row r="2965" ht="15">
      <c r="D2965" s="216"/>
    </row>
    <row r="2966" ht="15">
      <c r="D2966" s="216"/>
    </row>
    <row r="2967" ht="15">
      <c r="D2967" s="216"/>
    </row>
    <row r="2968" ht="15">
      <c r="D2968" s="216"/>
    </row>
    <row r="2969" ht="15">
      <c r="D2969" s="216"/>
    </row>
    <row r="2970" ht="15">
      <c r="D2970" s="216"/>
    </row>
    <row r="2971" ht="15">
      <c r="D2971" s="216"/>
    </row>
    <row r="2972" ht="15">
      <c r="D2972" s="216"/>
    </row>
    <row r="2973" ht="15">
      <c r="D2973" s="216"/>
    </row>
    <row r="2974" ht="15">
      <c r="D2974" s="216"/>
    </row>
    <row r="2975" ht="15">
      <c r="D2975" s="216"/>
    </row>
    <row r="2976" ht="15">
      <c r="D2976" s="216"/>
    </row>
    <row r="2977" ht="15">
      <c r="D2977" s="216"/>
    </row>
    <row r="2978" ht="15">
      <c r="D2978" s="216"/>
    </row>
    <row r="2979" ht="15">
      <c r="D2979" s="216"/>
    </row>
    <row r="2980" ht="15">
      <c r="D2980" s="216"/>
    </row>
    <row r="2981" ht="15">
      <c r="D2981" s="216"/>
    </row>
    <row r="2982" ht="15">
      <c r="D2982" s="216"/>
    </row>
    <row r="2983" ht="15">
      <c r="D2983" s="216"/>
    </row>
    <row r="2984" ht="15">
      <c r="D2984" s="216"/>
    </row>
    <row r="2985" ht="15">
      <c r="D2985" s="216"/>
    </row>
    <row r="2986" ht="15">
      <c r="D2986" s="216"/>
    </row>
    <row r="2987" ht="15">
      <c r="D2987" s="216"/>
    </row>
    <row r="2988" ht="15">
      <c r="D2988" s="216"/>
    </row>
    <row r="2989" ht="15">
      <c r="D2989" s="216"/>
    </row>
    <row r="2990" ht="15">
      <c r="D2990" s="216"/>
    </row>
    <row r="2991" ht="15">
      <c r="D2991" s="216"/>
    </row>
    <row r="2992" ht="15">
      <c r="D2992" s="216"/>
    </row>
    <row r="2993" ht="15">
      <c r="D2993" s="216"/>
    </row>
    <row r="2994" ht="15">
      <c r="D2994" s="216"/>
    </row>
    <row r="2995" ht="15">
      <c r="D2995" s="216"/>
    </row>
    <row r="2996" ht="15">
      <c r="D2996" s="216"/>
    </row>
    <row r="2997" ht="15">
      <c r="D2997" s="216"/>
    </row>
    <row r="2998" ht="15">
      <c r="D2998" s="216"/>
    </row>
    <row r="2999" ht="15">
      <c r="D2999" s="216"/>
    </row>
    <row r="3000" ht="15">
      <c r="D3000" s="216"/>
    </row>
    <row r="3001" ht="15">
      <c r="D3001" s="216"/>
    </row>
    <row r="3002" ht="15">
      <c r="D3002" s="216"/>
    </row>
    <row r="3003" ht="15">
      <c r="D3003" s="216"/>
    </row>
    <row r="3004" ht="15">
      <c r="D3004" s="216"/>
    </row>
    <row r="3005" ht="15">
      <c r="D3005" s="216"/>
    </row>
    <row r="3006" ht="15">
      <c r="D3006" s="216"/>
    </row>
    <row r="3007" ht="15">
      <c r="D3007" s="216"/>
    </row>
    <row r="3008" ht="15">
      <c r="D3008" s="216"/>
    </row>
    <row r="3009" ht="15">
      <c r="D3009" s="216"/>
    </row>
    <row r="3010" ht="15">
      <c r="D3010" s="216"/>
    </row>
    <row r="3011" ht="15">
      <c r="D3011" s="216"/>
    </row>
    <row r="3012" ht="15">
      <c r="D3012" s="216"/>
    </row>
    <row r="3013" ht="15">
      <c r="D3013" s="216"/>
    </row>
    <row r="3014" ht="15">
      <c r="D3014" s="216"/>
    </row>
    <row r="3015" ht="15">
      <c r="D3015" s="216"/>
    </row>
    <row r="3016" ht="15">
      <c r="D3016" s="216"/>
    </row>
    <row r="3017" ht="15">
      <c r="D3017" s="216"/>
    </row>
    <row r="3018" ht="15">
      <c r="D3018" s="216"/>
    </row>
    <row r="3019" ht="15">
      <c r="D3019" s="216"/>
    </row>
    <row r="3020" ht="15">
      <c r="D3020" s="216"/>
    </row>
    <row r="3021" ht="15">
      <c r="D3021" s="216"/>
    </row>
    <row r="3022" ht="15">
      <c r="D3022" s="216"/>
    </row>
    <row r="3023" ht="15">
      <c r="D3023" s="216"/>
    </row>
    <row r="3024" ht="15">
      <c r="D3024" s="216"/>
    </row>
    <row r="3025" ht="15">
      <c r="D3025" s="216"/>
    </row>
    <row r="3026" ht="15">
      <c r="D3026" s="216"/>
    </row>
    <row r="3027" ht="15">
      <c r="D3027" s="216"/>
    </row>
    <row r="3028" ht="15">
      <c r="D3028" s="216"/>
    </row>
    <row r="3029" ht="15">
      <c r="D3029" s="216"/>
    </row>
    <row r="3030" ht="15">
      <c r="D3030" s="216"/>
    </row>
    <row r="3031" ht="15">
      <c r="D3031" s="216"/>
    </row>
    <row r="3032" ht="15">
      <c r="D3032" s="216"/>
    </row>
    <row r="3033" ht="15">
      <c r="D3033" s="216"/>
    </row>
    <row r="3034" ht="15">
      <c r="D3034" s="216"/>
    </row>
    <row r="3035" ht="15">
      <c r="D3035" s="216"/>
    </row>
    <row r="3036" ht="15">
      <c r="D3036" s="216"/>
    </row>
    <row r="3037" ht="15">
      <c r="D3037" s="216"/>
    </row>
    <row r="3038" ht="15">
      <c r="D3038" s="216"/>
    </row>
    <row r="3039" ht="15">
      <c r="D3039" s="216"/>
    </row>
    <row r="3040" ht="15">
      <c r="D3040" s="216"/>
    </row>
    <row r="3041" ht="15">
      <c r="D3041" s="216"/>
    </row>
    <row r="3042" ht="15">
      <c r="D3042" s="216"/>
    </row>
    <row r="3043" ht="15">
      <c r="D3043" s="216"/>
    </row>
    <row r="3044" ht="15">
      <c r="D3044" s="216"/>
    </row>
    <row r="3045" ht="15">
      <c r="D3045" s="216"/>
    </row>
    <row r="3046" ht="15">
      <c r="D3046" s="216"/>
    </row>
    <row r="3047" ht="15">
      <c r="D3047" s="216"/>
    </row>
    <row r="3048" ht="15">
      <c r="D3048" s="216"/>
    </row>
    <row r="3049" ht="15">
      <c r="D3049" s="216"/>
    </row>
    <row r="3050" ht="15">
      <c r="D3050" s="216"/>
    </row>
    <row r="3051" ht="15">
      <c r="D3051" s="216"/>
    </row>
    <row r="3052" ht="15">
      <c r="D3052" s="216"/>
    </row>
    <row r="3053" ht="15">
      <c r="D3053" s="216"/>
    </row>
    <row r="3054" ht="15">
      <c r="D3054" s="216"/>
    </row>
    <row r="3055" ht="15">
      <c r="D3055" s="216"/>
    </row>
    <row r="3056" ht="15">
      <c r="D3056" s="216"/>
    </row>
    <row r="3057" ht="15">
      <c r="D3057" s="216"/>
    </row>
    <row r="3058" ht="15">
      <c r="D3058" s="216"/>
    </row>
    <row r="3059" ht="15">
      <c r="D3059" s="216"/>
    </row>
    <row r="3060" ht="15">
      <c r="D3060" s="216"/>
    </row>
    <row r="3061" ht="15">
      <c r="D3061" s="216"/>
    </row>
    <row r="3062" ht="15">
      <c r="D3062" s="216"/>
    </row>
    <row r="3063" ht="15">
      <c r="D3063" s="216"/>
    </row>
    <row r="3064" ht="15">
      <c r="D3064" s="216"/>
    </row>
    <row r="3065" ht="15">
      <c r="D3065" s="216"/>
    </row>
    <row r="3066" ht="15">
      <c r="D3066" s="216"/>
    </row>
    <row r="3067" ht="15">
      <c r="D3067" s="216"/>
    </row>
    <row r="3068" ht="15">
      <c r="D3068" s="216"/>
    </row>
    <row r="3069" ht="15">
      <c r="D3069" s="216"/>
    </row>
    <row r="3070" ht="15">
      <c r="D3070" s="216"/>
    </row>
    <row r="3071" ht="15">
      <c r="D3071" s="216"/>
    </row>
    <row r="3072" ht="15">
      <c r="D3072" s="216"/>
    </row>
    <row r="3073" ht="15">
      <c r="D3073" s="216"/>
    </row>
    <row r="3074" ht="15">
      <c r="D3074" s="216"/>
    </row>
    <row r="3075" ht="15">
      <c r="D3075" s="216"/>
    </row>
    <row r="3076" ht="15">
      <c r="D3076" s="216"/>
    </row>
    <row r="3077" ht="15">
      <c r="D3077" s="216"/>
    </row>
    <row r="3078" ht="15">
      <c r="D3078" s="216"/>
    </row>
    <row r="3079" ht="15">
      <c r="D3079" s="216"/>
    </row>
    <row r="3080" ht="15">
      <c r="D3080" s="216"/>
    </row>
    <row r="3081" ht="15">
      <c r="D3081" s="216"/>
    </row>
    <row r="3082" ht="15">
      <c r="D3082" s="216"/>
    </row>
    <row r="3083" ht="15">
      <c r="D3083" s="216"/>
    </row>
    <row r="3084" ht="15">
      <c r="D3084" s="216"/>
    </row>
    <row r="3085" ht="15">
      <c r="D3085" s="216"/>
    </row>
    <row r="3086" ht="15">
      <c r="D3086" s="216"/>
    </row>
    <row r="3087" ht="15">
      <c r="D3087" s="216"/>
    </row>
    <row r="3088" ht="15">
      <c r="D3088" s="216"/>
    </row>
    <row r="3089" ht="15">
      <c r="D3089" s="216"/>
    </row>
    <row r="3090" ht="15">
      <c r="D3090" s="216"/>
    </row>
    <row r="3091" ht="15">
      <c r="D3091" s="216"/>
    </row>
    <row r="3092" ht="15">
      <c r="D3092" s="216"/>
    </row>
    <row r="3093" ht="15">
      <c r="D3093" s="216"/>
    </row>
    <row r="3094" ht="15">
      <c r="D3094" s="216"/>
    </row>
    <row r="3095" ht="15">
      <c r="D3095" s="216"/>
    </row>
    <row r="3096" ht="15">
      <c r="D3096" s="216"/>
    </row>
    <row r="3097" ht="15">
      <c r="D3097" s="216"/>
    </row>
    <row r="3098" ht="15">
      <c r="D3098" s="216"/>
    </row>
    <row r="3099" ht="15">
      <c r="D3099" s="216"/>
    </row>
    <row r="3100" ht="15">
      <c r="D3100" s="216"/>
    </row>
    <row r="3101" ht="15">
      <c r="D3101" s="216"/>
    </row>
    <row r="3102" ht="15">
      <c r="D3102" s="216"/>
    </row>
    <row r="3103" ht="15">
      <c r="D3103" s="216"/>
    </row>
    <row r="3104" ht="15">
      <c r="D3104" s="216"/>
    </row>
    <row r="3105" ht="15">
      <c r="D3105" s="216"/>
    </row>
    <row r="3106" ht="15">
      <c r="D3106" s="216"/>
    </row>
    <row r="3107" ht="15">
      <c r="D3107" s="216"/>
    </row>
    <row r="3108" ht="15">
      <c r="D3108" s="216"/>
    </row>
    <row r="3109" ht="15">
      <c r="D3109" s="216"/>
    </row>
    <row r="3110" ht="15">
      <c r="D3110" s="216"/>
    </row>
    <row r="3111" ht="15">
      <c r="D3111" s="216"/>
    </row>
    <row r="3112" ht="15">
      <c r="D3112" s="216"/>
    </row>
    <row r="3113" ht="15">
      <c r="D3113" s="216"/>
    </row>
    <row r="3114" ht="15">
      <c r="D3114" s="216"/>
    </row>
    <row r="3115" ht="15">
      <c r="D3115" s="216"/>
    </row>
    <row r="3116" ht="15">
      <c r="D3116" s="216"/>
    </row>
    <row r="3117" ht="15">
      <c r="D3117" s="216"/>
    </row>
    <row r="3118" ht="15">
      <c r="D3118" s="216"/>
    </row>
    <row r="3119" ht="15">
      <c r="D3119" s="216"/>
    </row>
    <row r="3120" ht="15">
      <c r="D3120" s="216"/>
    </row>
    <row r="3121" ht="15">
      <c r="D3121" s="216"/>
    </row>
    <row r="3122" ht="15">
      <c r="D3122" s="216"/>
    </row>
    <row r="3123" ht="15">
      <c r="D3123" s="216"/>
    </row>
    <row r="3124" ht="15">
      <c r="D3124" s="216"/>
    </row>
    <row r="3125" ht="15">
      <c r="D3125" s="216"/>
    </row>
    <row r="3126" ht="15">
      <c r="D3126" s="216"/>
    </row>
    <row r="3127" ht="15">
      <c r="D3127" s="216"/>
    </row>
    <row r="3128" ht="15">
      <c r="D3128" s="216"/>
    </row>
    <row r="3129" ht="15">
      <c r="D3129" s="216"/>
    </row>
    <row r="3130" ht="15">
      <c r="D3130" s="216"/>
    </row>
    <row r="3131" ht="15">
      <c r="D3131" s="216"/>
    </row>
    <row r="3132" ht="15">
      <c r="D3132" s="216"/>
    </row>
    <row r="3133" ht="15">
      <c r="D3133" s="216"/>
    </row>
    <row r="3134" ht="15">
      <c r="D3134" s="216"/>
    </row>
    <row r="3135" ht="15">
      <c r="D3135" s="216"/>
    </row>
    <row r="3136" ht="15">
      <c r="D3136" s="216"/>
    </row>
    <row r="3137" ht="15">
      <c r="D3137" s="216"/>
    </row>
    <row r="3138" ht="15">
      <c r="D3138" s="216"/>
    </row>
    <row r="3139" ht="15">
      <c r="D3139" s="216"/>
    </row>
    <row r="3140" ht="15">
      <c r="D3140" s="216"/>
    </row>
    <row r="3141" ht="15">
      <c r="D3141" s="216"/>
    </row>
    <row r="3142" ht="15">
      <c r="D3142" s="216"/>
    </row>
    <row r="3143" ht="15">
      <c r="D3143" s="216"/>
    </row>
    <row r="3144" ht="15">
      <c r="D3144" s="216"/>
    </row>
    <row r="3145" ht="15">
      <c r="D3145" s="216"/>
    </row>
    <row r="3146" ht="15">
      <c r="D3146" s="216"/>
    </row>
    <row r="3147" ht="15">
      <c r="D3147" s="216"/>
    </row>
    <row r="3148" ht="15">
      <c r="D3148" s="216"/>
    </row>
    <row r="3149" ht="15">
      <c r="D3149" s="216"/>
    </row>
    <row r="3150" ht="15">
      <c r="D3150" s="216"/>
    </row>
    <row r="3151" ht="15">
      <c r="D3151" s="216"/>
    </row>
    <row r="3152" ht="15">
      <c r="D3152" s="216"/>
    </row>
    <row r="3153" ht="15">
      <c r="D3153" s="216"/>
    </row>
    <row r="3154" ht="15">
      <c r="D3154" s="216"/>
    </row>
    <row r="3155" ht="15">
      <c r="D3155" s="216"/>
    </row>
    <row r="3156" ht="15">
      <c r="D3156" s="216"/>
    </row>
    <row r="3157" ht="15">
      <c r="D3157" s="216"/>
    </row>
    <row r="3158" ht="15">
      <c r="D3158" s="216"/>
    </row>
    <row r="3159" ht="15">
      <c r="D3159" s="216"/>
    </row>
    <row r="3160" ht="15">
      <c r="D3160" s="216"/>
    </row>
    <row r="3161" ht="15">
      <c r="D3161" s="216"/>
    </row>
    <row r="3162" ht="15">
      <c r="D3162" s="216"/>
    </row>
    <row r="3163" ht="15">
      <c r="D3163" s="216"/>
    </row>
    <row r="3164" ht="15">
      <c r="D3164" s="216"/>
    </row>
    <row r="3165" ht="15">
      <c r="D3165" s="216"/>
    </row>
    <row r="3166" ht="15">
      <c r="D3166" s="216"/>
    </row>
    <row r="3167" ht="15">
      <c r="D3167" s="216"/>
    </row>
    <row r="3168" ht="15">
      <c r="D3168" s="216"/>
    </row>
    <row r="3169" ht="15">
      <c r="D3169" s="216"/>
    </row>
    <row r="3170" ht="15">
      <c r="D3170" s="216"/>
    </row>
    <row r="3171" ht="15">
      <c r="D3171" s="216"/>
    </row>
    <row r="3172" ht="15">
      <c r="D3172" s="216"/>
    </row>
    <row r="3173" ht="15">
      <c r="D3173" s="216"/>
    </row>
    <row r="3174" ht="15">
      <c r="D3174" s="216"/>
    </row>
    <row r="3175" ht="15">
      <c r="D3175" s="216"/>
    </row>
    <row r="3176" ht="15">
      <c r="D3176" s="216"/>
    </row>
    <row r="3177" ht="15">
      <c r="D3177" s="216"/>
    </row>
    <row r="3178" ht="15">
      <c r="D3178" s="216"/>
    </row>
    <row r="3179" ht="15">
      <c r="D3179" s="216"/>
    </row>
    <row r="3180" ht="15">
      <c r="D3180" s="216"/>
    </row>
    <row r="3181" ht="15">
      <c r="D3181" s="216"/>
    </row>
    <row r="3182" ht="15">
      <c r="D3182" s="216"/>
    </row>
    <row r="3183" ht="15">
      <c r="D3183" s="216"/>
    </row>
    <row r="3184" ht="15">
      <c r="D3184" s="216"/>
    </row>
    <row r="3185" ht="15">
      <c r="D3185" s="216"/>
    </row>
    <row r="3186" ht="15">
      <c r="D3186" s="216"/>
    </row>
    <row r="3187" ht="15">
      <c r="D3187" s="216"/>
    </row>
    <row r="3188" ht="15">
      <c r="D3188" s="216"/>
    </row>
    <row r="3189" ht="15">
      <c r="D3189" s="216"/>
    </row>
    <row r="3190" ht="15">
      <c r="D3190" s="216"/>
    </row>
    <row r="3191" ht="15">
      <c r="D3191" s="216"/>
    </row>
    <row r="3192" ht="15">
      <c r="D3192" s="216"/>
    </row>
    <row r="3193" ht="15">
      <c r="D3193" s="216"/>
    </row>
    <row r="3194" ht="15">
      <c r="D3194" s="216"/>
    </row>
    <row r="3195" ht="15">
      <c r="D3195" s="216"/>
    </row>
    <row r="3196" ht="15">
      <c r="D3196" s="216"/>
    </row>
    <row r="3197" ht="15">
      <c r="D3197" s="216"/>
    </row>
    <row r="3198" ht="15">
      <c r="D3198" s="216"/>
    </row>
    <row r="3199" ht="15">
      <c r="D3199" s="216"/>
    </row>
    <row r="3200" ht="15">
      <c r="D3200" s="216"/>
    </row>
    <row r="3201" ht="15">
      <c r="D3201" s="216"/>
    </row>
    <row r="3202" ht="15">
      <c r="D3202" s="216"/>
    </row>
    <row r="3203" ht="15">
      <c r="D3203" s="216"/>
    </row>
    <row r="3204" ht="15">
      <c r="D3204" s="216"/>
    </row>
    <row r="3205" ht="15">
      <c r="D3205" s="216"/>
    </row>
    <row r="3206" ht="15">
      <c r="D3206" s="216"/>
    </row>
    <row r="3207" ht="15">
      <c r="D3207" s="216"/>
    </row>
    <row r="3208" ht="15">
      <c r="D3208" s="216"/>
    </row>
    <row r="3209" ht="15">
      <c r="D3209" s="216"/>
    </row>
    <row r="3210" ht="15">
      <c r="D3210" s="216"/>
    </row>
    <row r="3211" ht="15">
      <c r="D3211" s="216"/>
    </row>
    <row r="3212" ht="15">
      <c r="D3212" s="216"/>
    </row>
    <row r="3213" ht="15">
      <c r="D3213" s="216"/>
    </row>
    <row r="3214" ht="15">
      <c r="D3214" s="216"/>
    </row>
    <row r="3215" ht="15">
      <c r="D3215" s="216"/>
    </row>
    <row r="3216" ht="15">
      <c r="D3216" s="216"/>
    </row>
    <row r="3217" ht="15">
      <c r="D3217" s="216"/>
    </row>
    <row r="3218" ht="15">
      <c r="D3218" s="216"/>
    </row>
    <row r="3219" ht="15">
      <c r="D3219" s="216"/>
    </row>
    <row r="3220" ht="15">
      <c r="D3220" s="216"/>
    </row>
    <row r="3221" ht="15">
      <c r="D3221" s="216"/>
    </row>
    <row r="3222" ht="15">
      <c r="D3222" s="216"/>
    </row>
    <row r="3223" ht="15">
      <c r="D3223" s="216"/>
    </row>
    <row r="3224" ht="15">
      <c r="D3224" s="216"/>
    </row>
    <row r="3225" ht="15">
      <c r="D3225" s="216"/>
    </row>
    <row r="3226" ht="15">
      <c r="D3226" s="216"/>
    </row>
    <row r="3227" ht="15">
      <c r="D3227" s="216"/>
    </row>
    <row r="3228" ht="15">
      <c r="D3228" s="216"/>
    </row>
    <row r="3229" ht="15">
      <c r="D3229" s="216"/>
    </row>
    <row r="3230" ht="15">
      <c r="D3230" s="216"/>
    </row>
    <row r="3231" ht="15">
      <c r="D3231" s="216"/>
    </row>
    <row r="3232" ht="15">
      <c r="D3232" s="216"/>
    </row>
    <row r="3233" ht="15">
      <c r="D3233" s="216"/>
    </row>
    <row r="3234" ht="15">
      <c r="D3234" s="216"/>
    </row>
    <row r="3235" ht="15">
      <c r="D3235" s="216"/>
    </row>
    <row r="3236" ht="15">
      <c r="D3236" s="216"/>
    </row>
    <row r="3237" ht="15">
      <c r="D3237" s="216"/>
    </row>
    <row r="3238" ht="15">
      <c r="D3238" s="216"/>
    </row>
    <row r="3239" ht="15">
      <c r="D3239" s="216"/>
    </row>
    <row r="3240" ht="15">
      <c r="D3240" s="216"/>
    </row>
    <row r="3241" ht="15">
      <c r="D3241" s="216"/>
    </row>
    <row r="3242" ht="15">
      <c r="D3242" s="216"/>
    </row>
    <row r="3243" ht="15">
      <c r="D3243" s="216"/>
    </row>
    <row r="3244" ht="15">
      <c r="D3244" s="216"/>
    </row>
    <row r="3245" ht="15">
      <c r="D3245" s="216"/>
    </row>
    <row r="3246" ht="15">
      <c r="D3246" s="216"/>
    </row>
    <row r="3247" ht="15">
      <c r="D3247" s="216"/>
    </row>
    <row r="3248" ht="15">
      <c r="D3248" s="216"/>
    </row>
    <row r="3249" ht="15">
      <c r="D3249" s="216"/>
    </row>
    <row r="3250" ht="15">
      <c r="D3250" s="216"/>
    </row>
    <row r="3251" ht="15">
      <c r="D3251" s="216"/>
    </row>
    <row r="3252" ht="15">
      <c r="D3252" s="216"/>
    </row>
    <row r="3253" ht="15">
      <c r="D3253" s="216"/>
    </row>
    <row r="3254" ht="15">
      <c r="D3254" s="216"/>
    </row>
    <row r="3255" ht="15">
      <c r="D3255" s="216"/>
    </row>
    <row r="3256" ht="15">
      <c r="D3256" s="216"/>
    </row>
    <row r="3257" ht="15">
      <c r="D3257" s="216"/>
    </row>
    <row r="3258" ht="15">
      <c r="D3258" s="216"/>
    </row>
    <row r="3259" ht="15">
      <c r="D3259" s="216"/>
    </row>
    <row r="3260" ht="15">
      <c r="D3260" s="216"/>
    </row>
    <row r="3261" ht="15">
      <c r="D3261" s="216"/>
    </row>
    <row r="3262" ht="15">
      <c r="D3262" s="216"/>
    </row>
    <row r="3263" ht="15">
      <c r="D3263" s="216"/>
    </row>
    <row r="3264" ht="15">
      <c r="D3264" s="216"/>
    </row>
    <row r="3265" ht="15">
      <c r="D3265" s="216"/>
    </row>
    <row r="3266" ht="15">
      <c r="D3266" s="216"/>
    </row>
    <row r="3267" ht="15">
      <c r="D3267" s="216"/>
    </row>
    <row r="3268" ht="15">
      <c r="D3268" s="216"/>
    </row>
    <row r="3269" ht="15">
      <c r="D3269" s="216"/>
    </row>
    <row r="3270" ht="15">
      <c r="D3270" s="216"/>
    </row>
    <row r="3271" ht="15">
      <c r="D3271" s="216"/>
    </row>
    <row r="3272" ht="15">
      <c r="D3272" s="216"/>
    </row>
    <row r="3273" ht="15">
      <c r="D3273" s="216"/>
    </row>
    <row r="3274" ht="15">
      <c r="D3274" s="216"/>
    </row>
    <row r="3275" ht="15">
      <c r="D3275" s="216"/>
    </row>
    <row r="3276" ht="15">
      <c r="D3276" s="216"/>
    </row>
    <row r="3277" ht="15">
      <c r="D3277" s="216"/>
    </row>
    <row r="3278" ht="15">
      <c r="D3278" s="216"/>
    </row>
    <row r="3279" ht="15">
      <c r="D3279" s="216"/>
    </row>
    <row r="3280" ht="15">
      <c r="D3280" s="216"/>
    </row>
    <row r="3281" ht="15">
      <c r="D3281" s="216"/>
    </row>
    <row r="3282" ht="15">
      <c r="D3282" s="216"/>
    </row>
    <row r="3283" ht="15">
      <c r="D3283" s="216"/>
    </row>
    <row r="3284" ht="15">
      <c r="D3284" s="216"/>
    </row>
    <row r="3285" ht="15">
      <c r="D3285" s="216"/>
    </row>
    <row r="3286" ht="15">
      <c r="D3286" s="216"/>
    </row>
    <row r="3287" ht="15">
      <c r="D3287" s="216"/>
    </row>
    <row r="3288" ht="15">
      <c r="D3288" s="216"/>
    </row>
    <row r="3289" ht="15">
      <c r="D3289" s="216"/>
    </row>
    <row r="3290" ht="15">
      <c r="D3290" s="216"/>
    </row>
    <row r="3291" ht="15">
      <c r="D3291" s="216"/>
    </row>
    <row r="3292" ht="15">
      <c r="D3292" s="216"/>
    </row>
    <row r="3293" ht="15">
      <c r="D3293" s="216"/>
    </row>
    <row r="3294" ht="15">
      <c r="D3294" s="216"/>
    </row>
    <row r="3295" ht="15">
      <c r="D3295" s="216"/>
    </row>
    <row r="3296" ht="15">
      <c r="D3296" s="216"/>
    </row>
    <row r="3297" ht="15">
      <c r="D3297" s="216"/>
    </row>
    <row r="3298" ht="15">
      <c r="D3298" s="216"/>
    </row>
    <row r="3299" ht="15">
      <c r="D3299" s="216"/>
    </row>
    <row r="3300" ht="15">
      <c r="D3300" s="216"/>
    </row>
    <row r="3301" ht="15">
      <c r="D3301" s="216"/>
    </row>
    <row r="3302" ht="15">
      <c r="D3302" s="216"/>
    </row>
    <row r="3303" ht="15">
      <c r="D3303" s="216"/>
    </row>
    <row r="3304" ht="15">
      <c r="D3304" s="216"/>
    </row>
    <row r="3305" ht="15">
      <c r="D3305" s="216"/>
    </row>
    <row r="3306" ht="15">
      <c r="D3306" s="216"/>
    </row>
    <row r="3307" ht="15">
      <c r="D3307" s="216"/>
    </row>
    <row r="3308" ht="15">
      <c r="D3308" s="216"/>
    </row>
    <row r="3309" ht="15">
      <c r="D3309" s="216"/>
    </row>
    <row r="3310" ht="15">
      <c r="D3310" s="216"/>
    </row>
    <row r="3311" ht="15">
      <c r="D3311" s="216"/>
    </row>
    <row r="3312" ht="15">
      <c r="D3312" s="216"/>
    </row>
    <row r="3313" ht="15">
      <c r="D3313" s="216"/>
    </row>
    <row r="3314" ht="15">
      <c r="D3314" s="216"/>
    </row>
    <row r="3315" ht="15">
      <c r="D3315" s="216"/>
    </row>
    <row r="3316" ht="15">
      <c r="D3316" s="216"/>
    </row>
    <row r="3317" ht="15">
      <c r="D3317" s="216"/>
    </row>
    <row r="3318" ht="15">
      <c r="D3318" s="216"/>
    </row>
    <row r="3319" ht="15">
      <c r="D3319" s="216"/>
    </row>
    <row r="3320" ht="15">
      <c r="D3320" s="216"/>
    </row>
    <row r="3321" ht="15">
      <c r="D3321" s="216"/>
    </row>
    <row r="3322" ht="15">
      <c r="D3322" s="216"/>
    </row>
    <row r="3323" ht="15">
      <c r="D3323" s="216"/>
    </row>
    <row r="3324" ht="15">
      <c r="D3324" s="216"/>
    </row>
    <row r="3325" ht="15">
      <c r="D3325" s="216"/>
    </row>
    <row r="3326" ht="15">
      <c r="D3326" s="216"/>
    </row>
    <row r="3327" ht="15">
      <c r="D3327" s="216"/>
    </row>
    <row r="3328" ht="15">
      <c r="D3328" s="216"/>
    </row>
    <row r="3329" ht="15">
      <c r="D3329" s="216"/>
    </row>
    <row r="3330" ht="15">
      <c r="D3330" s="216"/>
    </row>
    <row r="3331" ht="15">
      <c r="D3331" s="216"/>
    </row>
    <row r="3332" ht="15">
      <c r="D3332" s="216"/>
    </row>
    <row r="3333" ht="15">
      <c r="D3333" s="216"/>
    </row>
    <row r="3334" ht="15">
      <c r="D3334" s="216"/>
    </row>
    <row r="3335" ht="15">
      <c r="D3335" s="216"/>
    </row>
    <row r="3336" ht="15">
      <c r="D3336" s="216"/>
    </row>
    <row r="3337" ht="15">
      <c r="D3337" s="216"/>
    </row>
    <row r="3338" ht="15">
      <c r="D3338" s="216"/>
    </row>
    <row r="3339" ht="15">
      <c r="D3339" s="216"/>
    </row>
    <row r="3340" ht="15">
      <c r="D3340" s="216"/>
    </row>
    <row r="3341" ht="15">
      <c r="D3341" s="216"/>
    </row>
    <row r="3342" ht="15">
      <c r="D3342" s="216"/>
    </row>
    <row r="3343" ht="15">
      <c r="D3343" s="216"/>
    </row>
    <row r="3344" ht="15">
      <c r="D3344" s="216"/>
    </row>
    <row r="3345" ht="15">
      <c r="D3345" s="216"/>
    </row>
    <row r="3346" ht="15">
      <c r="D3346" s="216"/>
    </row>
    <row r="3347" ht="15">
      <c r="D3347" s="216"/>
    </row>
    <row r="3348" ht="15">
      <c r="D3348" s="216"/>
    </row>
    <row r="3349" ht="15">
      <c r="D3349" s="216"/>
    </row>
    <row r="3350" ht="15">
      <c r="D3350" s="216"/>
    </row>
    <row r="3351" ht="15">
      <c r="D3351" s="216"/>
    </row>
    <row r="3352" ht="15">
      <c r="D3352" s="216"/>
    </row>
    <row r="3353" ht="15">
      <c r="D3353" s="216"/>
    </row>
    <row r="3354" ht="15">
      <c r="D3354" s="216"/>
    </row>
    <row r="3355" ht="15">
      <c r="D3355" s="216"/>
    </row>
    <row r="3356" ht="15">
      <c r="D3356" s="216"/>
    </row>
    <row r="3357" ht="15">
      <c r="D3357" s="216"/>
    </row>
    <row r="3358" ht="15">
      <c r="D3358" s="216"/>
    </row>
    <row r="3359" ht="15">
      <c r="D3359" s="216"/>
    </row>
    <row r="3360" ht="15">
      <c r="D3360" s="216"/>
    </row>
    <row r="3361" ht="15">
      <c r="D3361" s="216"/>
    </row>
    <row r="3362" ht="15">
      <c r="D3362" s="216"/>
    </row>
    <row r="3363" ht="15">
      <c r="D3363" s="216"/>
    </row>
    <row r="3364" ht="15">
      <c r="D3364" s="216"/>
    </row>
    <row r="3365" ht="15">
      <c r="D3365" s="216"/>
    </row>
    <row r="3366" ht="15">
      <c r="D3366" s="216"/>
    </row>
    <row r="3367" ht="15">
      <c r="D3367" s="216"/>
    </row>
    <row r="3368" ht="15">
      <c r="D3368" s="216"/>
    </row>
    <row r="3369" ht="15">
      <c r="D3369" s="216"/>
    </row>
    <row r="3370" ht="15">
      <c r="D3370" s="216"/>
    </row>
    <row r="3371" ht="15">
      <c r="D3371" s="216"/>
    </row>
    <row r="3372" ht="15">
      <c r="D3372" s="216"/>
    </row>
    <row r="3373" ht="15">
      <c r="D3373" s="216"/>
    </row>
    <row r="3374" ht="15">
      <c r="D3374" s="216"/>
    </row>
    <row r="3375" ht="15">
      <c r="D3375" s="216"/>
    </row>
    <row r="3376" ht="15">
      <c r="D3376" s="216"/>
    </row>
    <row r="3377" ht="15">
      <c r="D3377" s="216"/>
    </row>
    <row r="3378" ht="15">
      <c r="D3378" s="216"/>
    </row>
    <row r="3379" ht="15">
      <c r="D3379" s="216"/>
    </row>
    <row r="3380" ht="15">
      <c r="D3380" s="216"/>
    </row>
    <row r="3381" ht="15">
      <c r="D3381" s="216"/>
    </row>
    <row r="3382" ht="15">
      <c r="D3382" s="216"/>
    </row>
    <row r="3383" ht="15">
      <c r="D3383" s="216"/>
    </row>
    <row r="3384" ht="15">
      <c r="D3384" s="216"/>
    </row>
    <row r="3385" ht="15">
      <c r="D3385" s="216"/>
    </row>
    <row r="3386" ht="15">
      <c r="D3386" s="216"/>
    </row>
    <row r="3387" ht="15">
      <c r="D3387" s="216"/>
    </row>
    <row r="3388" ht="15">
      <c r="D3388" s="216"/>
    </row>
    <row r="3389" ht="15">
      <c r="D3389" s="216"/>
    </row>
    <row r="3390" ht="15">
      <c r="D3390" s="216"/>
    </row>
    <row r="3391" ht="15">
      <c r="D3391" s="216"/>
    </row>
    <row r="3392" ht="15">
      <c r="D3392" s="216"/>
    </row>
    <row r="3393" ht="15">
      <c r="D3393" s="216"/>
    </row>
    <row r="3394" ht="15">
      <c r="D3394" s="216"/>
    </row>
    <row r="3395" ht="15">
      <c r="D3395" s="216"/>
    </row>
    <row r="3396" ht="15">
      <c r="D3396" s="216"/>
    </row>
    <row r="3397" ht="15">
      <c r="D3397" s="216"/>
    </row>
    <row r="3398" ht="15">
      <c r="D3398" s="216"/>
    </row>
    <row r="3399" ht="15">
      <c r="D3399" s="216"/>
    </row>
    <row r="3400" ht="15">
      <c r="D3400" s="216"/>
    </row>
    <row r="3401" ht="15">
      <c r="D3401" s="216"/>
    </row>
    <row r="3402" ht="15">
      <c r="D3402" s="216"/>
    </row>
    <row r="3403" ht="15">
      <c r="D3403" s="216"/>
    </row>
    <row r="3404" ht="15">
      <c r="D3404" s="216"/>
    </row>
    <row r="3405" ht="15">
      <c r="D3405" s="216"/>
    </row>
    <row r="3406" ht="15">
      <c r="D3406" s="216"/>
    </row>
    <row r="3407" ht="15">
      <c r="D3407" s="216"/>
    </row>
    <row r="3408" ht="15">
      <c r="D3408" s="216"/>
    </row>
    <row r="3409" ht="15">
      <c r="D3409" s="216"/>
    </row>
    <row r="3410" ht="15">
      <c r="D3410" s="216"/>
    </row>
    <row r="3411" ht="15">
      <c r="D3411" s="216"/>
    </row>
    <row r="3412" ht="15">
      <c r="D3412" s="216"/>
    </row>
    <row r="3413" ht="15">
      <c r="D3413" s="216"/>
    </row>
    <row r="3414" ht="15">
      <c r="D3414" s="216"/>
    </row>
    <row r="3415" ht="15">
      <c r="D3415" s="216"/>
    </row>
    <row r="3416" ht="15">
      <c r="D3416" s="216"/>
    </row>
    <row r="3417" ht="15">
      <c r="D3417" s="216"/>
    </row>
    <row r="3418" ht="15">
      <c r="D3418" s="216"/>
    </row>
    <row r="3419" ht="15">
      <c r="D3419" s="216"/>
    </row>
    <row r="3420" ht="15">
      <c r="D3420" s="216"/>
    </row>
    <row r="3421" ht="15">
      <c r="D3421" s="216"/>
    </row>
    <row r="3422" ht="15">
      <c r="D3422" s="216"/>
    </row>
    <row r="3423" ht="15">
      <c r="D3423" s="216"/>
    </row>
    <row r="3424" ht="15">
      <c r="D3424" s="216"/>
    </row>
    <row r="3425" ht="15">
      <c r="D3425" s="216"/>
    </row>
    <row r="3426" ht="15">
      <c r="D3426" s="216"/>
    </row>
    <row r="3427" ht="15">
      <c r="D3427" s="216"/>
    </row>
    <row r="3428" ht="15">
      <c r="D3428" s="216"/>
    </row>
    <row r="3429" ht="15">
      <c r="D3429" s="216"/>
    </row>
    <row r="3430" ht="15">
      <c r="D3430" s="216"/>
    </row>
    <row r="3431" ht="15">
      <c r="D3431" s="216"/>
    </row>
    <row r="3432" ht="15">
      <c r="D3432" s="216"/>
    </row>
    <row r="3433" ht="15">
      <c r="D3433" s="216"/>
    </row>
    <row r="3434" ht="15">
      <c r="D3434" s="216"/>
    </row>
    <row r="3435" ht="15">
      <c r="D3435" s="216"/>
    </row>
    <row r="3436" ht="15">
      <c r="D3436" s="216"/>
    </row>
    <row r="3437" ht="15">
      <c r="D3437" s="216"/>
    </row>
    <row r="3438" ht="15">
      <c r="D3438" s="216"/>
    </row>
    <row r="3439" ht="15">
      <c r="D3439" s="216"/>
    </row>
    <row r="3440" ht="15">
      <c r="D3440" s="216"/>
    </row>
    <row r="3441" ht="15">
      <c r="D3441" s="216"/>
    </row>
    <row r="3442" ht="15">
      <c r="D3442" s="216"/>
    </row>
    <row r="3443" ht="15">
      <c r="D3443" s="216"/>
    </row>
    <row r="3444" ht="15">
      <c r="D3444" s="216"/>
    </row>
    <row r="3445" ht="15">
      <c r="D3445" s="216"/>
    </row>
    <row r="3446" ht="15">
      <c r="D3446" s="216"/>
    </row>
    <row r="3447" ht="15">
      <c r="D3447" s="216"/>
    </row>
    <row r="3448" ht="15">
      <c r="D3448" s="216"/>
    </row>
    <row r="3449" ht="15">
      <c r="D3449" s="216"/>
    </row>
    <row r="3450" ht="15">
      <c r="D3450" s="216"/>
    </row>
    <row r="3451" ht="15">
      <c r="D3451" s="216"/>
    </row>
    <row r="3452" ht="15">
      <c r="D3452" s="216"/>
    </row>
    <row r="3453" ht="15">
      <c r="D3453" s="216"/>
    </row>
    <row r="3454" ht="15">
      <c r="D3454" s="216"/>
    </row>
    <row r="3455" ht="15">
      <c r="D3455" s="216"/>
    </row>
    <row r="3456" ht="15">
      <c r="D3456" s="216"/>
    </row>
    <row r="3457" ht="15">
      <c r="D3457" s="216"/>
    </row>
    <row r="3458" ht="15">
      <c r="D3458" s="216"/>
    </row>
    <row r="3459" ht="15">
      <c r="D3459" s="216"/>
    </row>
    <row r="3460" ht="15">
      <c r="D3460" s="216"/>
    </row>
    <row r="3461" ht="15">
      <c r="D3461" s="216"/>
    </row>
    <row r="3462" ht="15">
      <c r="D3462" s="216"/>
    </row>
    <row r="3463" ht="15">
      <c r="D3463" s="216"/>
    </row>
    <row r="3464" ht="15">
      <c r="D3464" s="216"/>
    </row>
    <row r="3465" ht="15">
      <c r="D3465" s="216"/>
    </row>
    <row r="3466" ht="15">
      <c r="D3466" s="216"/>
    </row>
    <row r="3467" ht="15">
      <c r="D3467" s="216"/>
    </row>
    <row r="3468" ht="15">
      <c r="D3468" s="216"/>
    </row>
    <row r="3469" ht="15">
      <c r="D3469" s="216"/>
    </row>
    <row r="3470" ht="15">
      <c r="D3470" s="216"/>
    </row>
    <row r="3471" ht="15">
      <c r="D3471" s="216"/>
    </row>
    <row r="3472" ht="15">
      <c r="D3472" s="216"/>
    </row>
    <row r="3473" ht="15">
      <c r="D3473" s="216"/>
    </row>
    <row r="3474" ht="15">
      <c r="D3474" s="216"/>
    </row>
    <row r="3475" ht="15">
      <c r="D3475" s="216"/>
    </row>
    <row r="3476" ht="15">
      <c r="D3476" s="216"/>
    </row>
    <row r="3477" ht="15">
      <c r="D3477" s="216"/>
    </row>
    <row r="3478" ht="15">
      <c r="D3478" s="216"/>
    </row>
    <row r="3479" ht="15">
      <c r="D3479" s="216"/>
    </row>
    <row r="3480" ht="15">
      <c r="D3480" s="216"/>
    </row>
    <row r="3481" ht="15">
      <c r="D3481" s="216"/>
    </row>
    <row r="3482" ht="15">
      <c r="D3482" s="216"/>
    </row>
    <row r="3483" ht="15">
      <c r="D3483" s="216"/>
    </row>
    <row r="3484" ht="15">
      <c r="D3484" s="216"/>
    </row>
    <row r="3485" ht="15">
      <c r="D3485" s="216"/>
    </row>
    <row r="3486" ht="15">
      <c r="D3486" s="216"/>
    </row>
    <row r="3487" ht="15">
      <c r="D3487" s="216"/>
    </row>
    <row r="3488" ht="15">
      <c r="D3488" s="216"/>
    </row>
    <row r="3489" ht="15">
      <c r="D3489" s="216"/>
    </row>
    <row r="3490" ht="15">
      <c r="D3490" s="216"/>
    </row>
    <row r="3491" ht="15">
      <c r="D3491" s="216"/>
    </row>
    <row r="3492" ht="15">
      <c r="D3492" s="216"/>
    </row>
    <row r="3493" ht="15">
      <c r="D3493" s="216"/>
    </row>
    <row r="3494" ht="15">
      <c r="D3494" s="216"/>
    </row>
    <row r="3495" ht="15">
      <c r="D3495" s="216"/>
    </row>
    <row r="3496" ht="15">
      <c r="D3496" s="216"/>
    </row>
    <row r="3497" ht="15">
      <c r="D3497" s="216"/>
    </row>
    <row r="3498" ht="15">
      <c r="D3498" s="216"/>
    </row>
    <row r="3499" ht="15">
      <c r="D3499" s="216"/>
    </row>
    <row r="3500" ht="15">
      <c r="D3500" s="216"/>
    </row>
    <row r="3501" ht="15">
      <c r="D3501" s="216"/>
    </row>
    <row r="3502" ht="15">
      <c r="D3502" s="216"/>
    </row>
    <row r="3503" ht="15">
      <c r="D3503" s="216"/>
    </row>
    <row r="3504" ht="15">
      <c r="D3504" s="216"/>
    </row>
    <row r="3505" ht="15">
      <c r="D3505" s="216"/>
    </row>
    <row r="3506" ht="15">
      <c r="D3506" s="216"/>
    </row>
    <row r="3507" ht="15">
      <c r="D3507" s="216"/>
    </row>
    <row r="3508" ht="15">
      <c r="D3508" s="216"/>
    </row>
    <row r="3509" ht="15">
      <c r="D3509" s="216"/>
    </row>
    <row r="3510" ht="15">
      <c r="D3510" s="216"/>
    </row>
    <row r="3511" ht="15">
      <c r="D3511" s="216"/>
    </row>
    <row r="3512" ht="15">
      <c r="D3512" s="216"/>
    </row>
    <row r="3513" ht="15">
      <c r="D3513" s="216"/>
    </row>
    <row r="3514" ht="15">
      <c r="D3514" s="216"/>
    </row>
    <row r="3515" ht="15">
      <c r="D3515" s="216"/>
    </row>
    <row r="3516" ht="15">
      <c r="D3516" s="216"/>
    </row>
    <row r="3517" ht="15">
      <c r="D3517" s="216"/>
    </row>
    <row r="3518" ht="15">
      <c r="D3518" s="216"/>
    </row>
    <row r="3519" ht="15">
      <c r="D3519" s="216"/>
    </row>
    <row r="3520" ht="15">
      <c r="D3520" s="216"/>
    </row>
    <row r="3521" ht="15">
      <c r="D3521" s="216"/>
    </row>
    <row r="3522" ht="15">
      <c r="D3522" s="216"/>
    </row>
    <row r="3523" ht="15">
      <c r="D3523" s="216"/>
    </row>
    <row r="3524" ht="15">
      <c r="D3524" s="216"/>
    </row>
    <row r="3525" ht="15">
      <c r="D3525" s="216"/>
    </row>
    <row r="3526" ht="15">
      <c r="D3526" s="216"/>
    </row>
    <row r="3527" ht="15">
      <c r="D3527" s="216"/>
    </row>
    <row r="3528" ht="15">
      <c r="D3528" s="216"/>
    </row>
    <row r="3529" ht="15">
      <c r="D3529" s="216"/>
    </row>
    <row r="3530" ht="15">
      <c r="D3530" s="216"/>
    </row>
    <row r="3531" ht="15">
      <c r="D3531" s="216"/>
    </row>
    <row r="3532" ht="15">
      <c r="D3532" s="216"/>
    </row>
    <row r="3533" ht="15">
      <c r="D3533" s="216"/>
    </row>
    <row r="3534" ht="15">
      <c r="D3534" s="216"/>
    </row>
    <row r="3535" ht="15">
      <c r="D3535" s="216"/>
    </row>
    <row r="3536" ht="15">
      <c r="D3536" s="216"/>
    </row>
    <row r="3537" ht="15">
      <c r="D3537" s="216"/>
    </row>
    <row r="3538" ht="15">
      <c r="D3538" s="216"/>
    </row>
    <row r="3539" ht="15">
      <c r="D3539" s="216"/>
    </row>
    <row r="3540" ht="15">
      <c r="D3540" s="216"/>
    </row>
    <row r="3541" ht="15">
      <c r="D3541" s="216"/>
    </row>
    <row r="3542" ht="15">
      <c r="D3542" s="216"/>
    </row>
    <row r="3543" ht="15">
      <c r="D3543" s="216"/>
    </row>
    <row r="3544" ht="15">
      <c r="D3544" s="216"/>
    </row>
    <row r="3545" ht="15">
      <c r="D3545" s="216"/>
    </row>
    <row r="3546" ht="15">
      <c r="D3546" s="216"/>
    </row>
    <row r="3547" ht="15">
      <c r="D3547" s="216"/>
    </row>
    <row r="3548" ht="15">
      <c r="D3548" s="216"/>
    </row>
    <row r="3549" ht="15">
      <c r="D3549" s="216"/>
    </row>
    <row r="3550" ht="15">
      <c r="D3550" s="216"/>
    </row>
    <row r="3551" ht="15">
      <c r="D3551" s="216"/>
    </row>
    <row r="3552" ht="15">
      <c r="D3552" s="216"/>
    </row>
    <row r="3553" ht="15">
      <c r="D3553" s="216"/>
    </row>
    <row r="3554" ht="15">
      <c r="D3554" s="216"/>
    </row>
    <row r="3555" ht="15">
      <c r="D3555" s="216"/>
    </row>
    <row r="3556" ht="15">
      <c r="D3556" s="216"/>
    </row>
    <row r="3557" ht="15">
      <c r="D3557" s="216"/>
    </row>
    <row r="3558" ht="15">
      <c r="D3558" s="216"/>
    </row>
    <row r="3559" ht="15">
      <c r="D3559" s="216"/>
    </row>
    <row r="3560" ht="15">
      <c r="D3560" s="216"/>
    </row>
    <row r="3561" ht="15">
      <c r="D3561" s="216"/>
    </row>
    <row r="3562" ht="15">
      <c r="D3562" s="216"/>
    </row>
    <row r="3563" ht="15">
      <c r="D3563" s="216"/>
    </row>
    <row r="3564" ht="15">
      <c r="D3564" s="216"/>
    </row>
    <row r="3565" ht="15">
      <c r="D3565" s="216"/>
    </row>
    <row r="3566" ht="15">
      <c r="D3566" s="216"/>
    </row>
    <row r="3567" ht="15">
      <c r="D3567" s="216"/>
    </row>
    <row r="3568" ht="15">
      <c r="D3568" s="216"/>
    </row>
    <row r="3569" ht="15">
      <c r="D3569" s="216"/>
    </row>
    <row r="3570" ht="15">
      <c r="D3570" s="216"/>
    </row>
    <row r="3571" ht="15">
      <c r="D3571" s="216"/>
    </row>
    <row r="3572" ht="15">
      <c r="D3572" s="216"/>
    </row>
    <row r="3573" ht="15">
      <c r="D3573" s="216"/>
    </row>
    <row r="3574" ht="15">
      <c r="D3574" s="216"/>
    </row>
    <row r="3575" ht="15">
      <c r="D3575" s="216"/>
    </row>
    <row r="3576" ht="15">
      <c r="D3576" s="216"/>
    </row>
    <row r="3577" ht="15">
      <c r="D3577" s="216"/>
    </row>
    <row r="3578" ht="15">
      <c r="D3578" s="216"/>
    </row>
    <row r="3579" ht="15">
      <c r="D3579" s="216"/>
    </row>
    <row r="3580" ht="15">
      <c r="D3580" s="216"/>
    </row>
    <row r="3581" ht="15">
      <c r="D3581" s="216"/>
    </row>
    <row r="3582" ht="15">
      <c r="D3582" s="216"/>
    </row>
    <row r="3583" ht="15">
      <c r="D3583" s="216"/>
    </row>
    <row r="3584" ht="15">
      <c r="D3584" s="216"/>
    </row>
    <row r="3585" ht="15">
      <c r="D3585" s="216"/>
    </row>
    <row r="3586" ht="15">
      <c r="D3586" s="216"/>
    </row>
    <row r="3587" ht="15">
      <c r="D3587" s="216"/>
    </row>
    <row r="3588" ht="15">
      <c r="D3588" s="216"/>
    </row>
    <row r="3589" ht="15">
      <c r="D3589" s="216"/>
    </row>
    <row r="3590" ht="15">
      <c r="D3590" s="216"/>
    </row>
    <row r="3591" ht="15">
      <c r="D3591" s="216"/>
    </row>
    <row r="3592" ht="15">
      <c r="D3592" s="216"/>
    </row>
    <row r="3593" ht="15">
      <c r="D3593" s="216"/>
    </row>
    <row r="3594" ht="15">
      <c r="D3594" s="216"/>
    </row>
    <row r="3595" ht="15">
      <c r="D3595" s="216"/>
    </row>
    <row r="3596" ht="15">
      <c r="D3596" s="216"/>
    </row>
    <row r="3597" ht="15">
      <c r="D3597" s="216"/>
    </row>
    <row r="3598" ht="15">
      <c r="D3598" s="216"/>
    </row>
    <row r="3599" ht="15">
      <c r="D3599" s="216"/>
    </row>
    <row r="3600" ht="15">
      <c r="D3600" s="216"/>
    </row>
    <row r="3601" ht="15">
      <c r="D3601" s="216"/>
    </row>
    <row r="3602" ht="15">
      <c r="D3602" s="216"/>
    </row>
    <row r="3603" ht="15">
      <c r="D3603" s="216"/>
    </row>
    <row r="3604" ht="15">
      <c r="D3604" s="216"/>
    </row>
    <row r="3605" ht="15">
      <c r="D3605" s="216"/>
    </row>
    <row r="3606" ht="15">
      <c r="D3606" s="216"/>
    </row>
    <row r="3607" ht="15">
      <c r="D3607" s="216"/>
    </row>
    <row r="3608" ht="15">
      <c r="D3608" s="216"/>
    </row>
    <row r="3609" ht="15">
      <c r="D3609" s="216"/>
    </row>
    <row r="3610" ht="15">
      <c r="D3610" s="216"/>
    </row>
    <row r="3611" ht="15">
      <c r="D3611" s="216"/>
    </row>
    <row r="3612" ht="15">
      <c r="D3612" s="216"/>
    </row>
    <row r="3613" ht="15">
      <c r="D3613" s="216"/>
    </row>
    <row r="3614" ht="15">
      <c r="D3614" s="216"/>
    </row>
    <row r="3615" ht="15">
      <c r="D3615" s="216"/>
    </row>
    <row r="3616" ht="15">
      <c r="D3616" s="216"/>
    </row>
    <row r="3617" ht="15">
      <c r="D3617" s="216"/>
    </row>
    <row r="3618" ht="15">
      <c r="D3618" s="216"/>
    </row>
    <row r="3619" ht="15">
      <c r="D3619" s="216"/>
    </row>
    <row r="3620" ht="15">
      <c r="D3620" s="216"/>
    </row>
    <row r="3621" ht="15">
      <c r="D3621" s="216"/>
    </row>
    <row r="3622" ht="15">
      <c r="D3622" s="216"/>
    </row>
    <row r="3623" ht="15">
      <c r="D3623" s="216"/>
    </row>
    <row r="3624" ht="15">
      <c r="D3624" s="216"/>
    </row>
    <row r="3625" ht="15">
      <c r="D3625" s="216"/>
    </row>
    <row r="3626" ht="15">
      <c r="D3626" s="216"/>
    </row>
    <row r="3627" ht="15">
      <c r="D3627" s="216"/>
    </row>
    <row r="3628" ht="15">
      <c r="D3628" s="216"/>
    </row>
    <row r="3629" ht="15">
      <c r="D3629" s="216"/>
    </row>
    <row r="3630" ht="15">
      <c r="D3630" s="216"/>
    </row>
    <row r="3631" ht="15">
      <c r="D3631" s="216"/>
    </row>
    <row r="3632" ht="15">
      <c r="D3632" s="216"/>
    </row>
    <row r="3633" ht="15">
      <c r="D3633" s="216"/>
    </row>
    <row r="3634" ht="15">
      <c r="D3634" s="216"/>
    </row>
    <row r="3635" ht="15">
      <c r="D3635" s="216"/>
    </row>
    <row r="3636" ht="15">
      <c r="D3636" s="216"/>
    </row>
    <row r="3637" ht="15">
      <c r="D3637" s="216"/>
    </row>
    <row r="3638" ht="15">
      <c r="D3638" s="216"/>
    </row>
    <row r="3639" ht="15">
      <c r="D3639" s="216"/>
    </row>
    <row r="3640" ht="15">
      <c r="D3640" s="216"/>
    </row>
    <row r="3641" ht="15">
      <c r="D3641" s="216"/>
    </row>
    <row r="3642" ht="15">
      <c r="D3642" s="216"/>
    </row>
    <row r="3643" ht="15">
      <c r="D3643" s="216"/>
    </row>
    <row r="3644" ht="15">
      <c r="D3644" s="216"/>
    </row>
    <row r="3645" ht="15">
      <c r="D3645" s="216"/>
    </row>
    <row r="3646" ht="15">
      <c r="D3646" s="216"/>
    </row>
    <row r="3647" ht="15">
      <c r="D3647" s="216"/>
    </row>
    <row r="3648" ht="15">
      <c r="D3648" s="216"/>
    </row>
    <row r="3649" ht="15">
      <c r="D3649" s="216"/>
    </row>
    <row r="3650" ht="15">
      <c r="D3650" s="216"/>
    </row>
    <row r="3651" ht="15">
      <c r="D3651" s="216"/>
    </row>
    <row r="3652" ht="15">
      <c r="D3652" s="216"/>
    </row>
    <row r="3653" ht="15">
      <c r="D3653" s="216"/>
    </row>
    <row r="3654" ht="15">
      <c r="D3654" s="216"/>
    </row>
    <row r="3655" ht="15">
      <c r="D3655" s="216"/>
    </row>
    <row r="3656" ht="15">
      <c r="D3656" s="216"/>
    </row>
    <row r="3657" ht="15">
      <c r="D3657" s="216"/>
    </row>
    <row r="3658" ht="15">
      <c r="D3658" s="216"/>
    </row>
    <row r="3659" ht="15">
      <c r="D3659" s="216"/>
    </row>
    <row r="3660" ht="15">
      <c r="D3660" s="216"/>
    </row>
    <row r="3661" ht="15">
      <c r="D3661" s="216"/>
    </row>
    <row r="3662" ht="15">
      <c r="D3662" s="216"/>
    </row>
    <row r="3663" ht="15">
      <c r="D3663" s="216"/>
    </row>
    <row r="3664" ht="15">
      <c r="D3664" s="216"/>
    </row>
    <row r="3665" ht="15">
      <c r="D3665" s="216"/>
    </row>
    <row r="3666" ht="15">
      <c r="D3666" s="216"/>
    </row>
    <row r="3667" ht="15">
      <c r="D3667" s="216"/>
    </row>
    <row r="3668" ht="15">
      <c r="D3668" s="216"/>
    </row>
    <row r="3669" ht="15">
      <c r="D3669" s="216"/>
    </row>
    <row r="3670" ht="15">
      <c r="D3670" s="216"/>
    </row>
    <row r="3671" ht="15">
      <c r="D3671" s="216"/>
    </row>
    <row r="3672" ht="15">
      <c r="D3672" s="216"/>
    </row>
    <row r="3673" ht="15">
      <c r="D3673" s="216"/>
    </row>
    <row r="3674" ht="15">
      <c r="D3674" s="216"/>
    </row>
    <row r="3675" ht="15">
      <c r="D3675" s="216"/>
    </row>
    <row r="3676" ht="15">
      <c r="D3676" s="216"/>
    </row>
    <row r="3677" ht="15">
      <c r="D3677" s="216"/>
    </row>
    <row r="3678" ht="15">
      <c r="D3678" s="216"/>
    </row>
    <row r="3679" ht="15">
      <c r="D3679" s="216"/>
    </row>
    <row r="3680" ht="15">
      <c r="D3680" s="216"/>
    </row>
    <row r="3681" ht="15">
      <c r="D3681" s="216"/>
    </row>
    <row r="3682" ht="15">
      <c r="D3682" s="216"/>
    </row>
    <row r="3683" ht="15">
      <c r="D3683" s="216"/>
    </row>
    <row r="3684" ht="15">
      <c r="D3684" s="216"/>
    </row>
    <row r="3685" ht="15">
      <c r="D3685" s="216"/>
    </row>
    <row r="3686" ht="15">
      <c r="D3686" s="216"/>
    </row>
    <row r="3687" ht="15">
      <c r="D3687" s="216"/>
    </row>
    <row r="3688" ht="15">
      <c r="D3688" s="216"/>
    </row>
    <row r="3689" ht="15">
      <c r="D3689" s="216"/>
    </row>
    <row r="3690" ht="15">
      <c r="D3690" s="216"/>
    </row>
    <row r="3691" ht="15">
      <c r="D3691" s="216"/>
    </row>
    <row r="3692" ht="15">
      <c r="D3692" s="216"/>
    </row>
    <row r="3693" ht="15">
      <c r="D3693" s="216"/>
    </row>
    <row r="3694" ht="15">
      <c r="D3694" s="216"/>
    </row>
    <row r="3695" ht="15">
      <c r="D3695" s="216"/>
    </row>
    <row r="3696" ht="15">
      <c r="D3696" s="216"/>
    </row>
    <row r="3697" ht="15">
      <c r="D3697" s="216"/>
    </row>
    <row r="3698" ht="15">
      <c r="D3698" s="216"/>
    </row>
    <row r="3699" ht="15">
      <c r="D3699" s="216"/>
    </row>
    <row r="3700" ht="15">
      <c r="D3700" s="216"/>
    </row>
    <row r="3701" ht="15">
      <c r="D3701" s="216"/>
    </row>
    <row r="3702" ht="15">
      <c r="D3702" s="216"/>
    </row>
    <row r="3703" ht="15">
      <c r="D3703" s="216"/>
    </row>
    <row r="3704" ht="15">
      <c r="D3704" s="216"/>
    </row>
    <row r="3705" ht="15">
      <c r="D3705" s="216"/>
    </row>
    <row r="3706" ht="15">
      <c r="D3706" s="216"/>
    </row>
    <row r="3707" ht="15">
      <c r="D3707" s="216"/>
    </row>
    <row r="3708" ht="15">
      <c r="D3708" s="216"/>
    </row>
    <row r="3709" ht="15">
      <c r="D3709" s="216"/>
    </row>
    <row r="3710" ht="15">
      <c r="D3710" s="216"/>
    </row>
    <row r="3711" ht="15">
      <c r="D3711" s="216"/>
    </row>
    <row r="3712" ht="15">
      <c r="D3712" s="216"/>
    </row>
    <row r="3713" ht="15">
      <c r="D3713" s="216"/>
    </row>
    <row r="3714" ht="15">
      <c r="D3714" s="216"/>
    </row>
    <row r="3715" ht="15">
      <c r="D3715" s="216"/>
    </row>
    <row r="3716" ht="15">
      <c r="D3716" s="216"/>
    </row>
    <row r="3717" ht="15">
      <c r="D3717" s="216"/>
    </row>
    <row r="3718" ht="15">
      <c r="D3718" s="216"/>
    </row>
    <row r="3719" ht="15">
      <c r="D3719" s="216"/>
    </row>
    <row r="3720" ht="15">
      <c r="D3720" s="216"/>
    </row>
    <row r="3721" ht="15">
      <c r="D3721" s="216"/>
    </row>
    <row r="3722" ht="15">
      <c r="D3722" s="216"/>
    </row>
    <row r="3723" ht="15">
      <c r="D3723" s="216"/>
    </row>
    <row r="3724" ht="15">
      <c r="D3724" s="216"/>
    </row>
    <row r="3725" ht="15">
      <c r="D3725" s="216"/>
    </row>
    <row r="3726" ht="15">
      <c r="D3726" s="216"/>
    </row>
    <row r="3727" ht="15">
      <c r="D3727" s="216"/>
    </row>
    <row r="3728" ht="15">
      <c r="D3728" s="216"/>
    </row>
    <row r="3729" ht="15">
      <c r="D3729" s="216"/>
    </row>
    <row r="3730" ht="15">
      <c r="D3730" s="216"/>
    </row>
    <row r="3731" ht="15">
      <c r="D3731" s="216"/>
    </row>
    <row r="3732" ht="15">
      <c r="D3732" s="216"/>
    </row>
    <row r="3733" ht="15">
      <c r="D3733" s="216"/>
    </row>
    <row r="3734" ht="15">
      <c r="D3734" s="216"/>
    </row>
    <row r="3735" ht="15">
      <c r="D3735" s="216"/>
    </row>
    <row r="3736" ht="15">
      <c r="D3736" s="216"/>
    </row>
    <row r="3737" ht="15">
      <c r="D3737" s="216"/>
    </row>
    <row r="3738" ht="15">
      <c r="D3738" s="216"/>
    </row>
    <row r="3739" ht="15">
      <c r="D3739" s="216"/>
    </row>
    <row r="3740" ht="15">
      <c r="D3740" s="216"/>
    </row>
    <row r="3741" ht="15">
      <c r="D3741" s="216"/>
    </row>
    <row r="3742" ht="15">
      <c r="D3742" s="216"/>
    </row>
    <row r="3743" ht="15">
      <c r="D3743" s="216"/>
    </row>
    <row r="3744" ht="15">
      <c r="D3744" s="216"/>
    </row>
    <row r="3745" ht="15">
      <c r="D3745" s="216"/>
    </row>
    <row r="3746" ht="15">
      <c r="D3746" s="216"/>
    </row>
    <row r="3747" ht="15">
      <c r="D3747" s="216"/>
    </row>
    <row r="3748" ht="15">
      <c r="D3748" s="216"/>
    </row>
    <row r="3749" ht="15">
      <c r="D3749" s="216"/>
    </row>
    <row r="3750" ht="15">
      <c r="D3750" s="216"/>
    </row>
    <row r="3751" ht="15">
      <c r="D3751" s="216"/>
    </row>
    <row r="3752" ht="15">
      <c r="D3752" s="216"/>
    </row>
    <row r="3753" ht="15">
      <c r="D3753" s="216"/>
    </row>
    <row r="3754" ht="15">
      <c r="D3754" s="216"/>
    </row>
    <row r="3755" ht="15">
      <c r="D3755" s="216"/>
    </row>
    <row r="3756" ht="15">
      <c r="D3756" s="216"/>
    </row>
    <row r="3757" ht="15">
      <c r="D3757" s="216"/>
    </row>
    <row r="3758" ht="15">
      <c r="D3758" s="216"/>
    </row>
    <row r="3759" ht="15">
      <c r="D3759" s="216"/>
    </row>
    <row r="3760" ht="15">
      <c r="D3760" s="216"/>
    </row>
    <row r="3761" ht="15">
      <c r="D3761" s="216"/>
    </row>
    <row r="3762" ht="15">
      <c r="D3762" s="216"/>
    </row>
    <row r="3763" ht="15">
      <c r="D3763" s="216"/>
    </row>
    <row r="3764" ht="15">
      <c r="D3764" s="216"/>
    </row>
    <row r="3765" ht="15">
      <c r="D3765" s="216"/>
    </row>
    <row r="3766" ht="15">
      <c r="D3766" s="216"/>
    </row>
    <row r="3767" ht="15">
      <c r="D3767" s="216"/>
    </row>
    <row r="3768" ht="15">
      <c r="D3768" s="216"/>
    </row>
    <row r="3769" ht="15">
      <c r="D3769" s="216"/>
    </row>
    <row r="3770" ht="15">
      <c r="D3770" s="216"/>
    </row>
    <row r="3771" ht="15">
      <c r="D3771" s="216"/>
    </row>
    <row r="3772" ht="15">
      <c r="D3772" s="216"/>
    </row>
    <row r="3773" ht="15">
      <c r="D3773" s="216"/>
    </row>
    <row r="3774" ht="15">
      <c r="D3774" s="216"/>
    </row>
    <row r="3775" ht="15">
      <c r="D3775" s="216"/>
    </row>
    <row r="3776" ht="15">
      <c r="D3776" s="216"/>
    </row>
    <row r="3777" ht="15">
      <c r="D3777" s="216"/>
    </row>
    <row r="3778" ht="15">
      <c r="D3778" s="216"/>
    </row>
    <row r="3779" ht="15">
      <c r="D3779" s="216"/>
    </row>
    <row r="3780" ht="15">
      <c r="D3780" s="216"/>
    </row>
    <row r="3781" ht="15">
      <c r="D3781" s="216"/>
    </row>
    <row r="3782" ht="15">
      <c r="D3782" s="216"/>
    </row>
    <row r="3783" ht="15">
      <c r="D3783" s="216"/>
    </row>
    <row r="3784" ht="15">
      <c r="D3784" s="216"/>
    </row>
    <row r="3785" ht="15">
      <c r="D3785" s="216"/>
    </row>
    <row r="3786" ht="15">
      <c r="D3786" s="216"/>
    </row>
    <row r="3787" ht="15">
      <c r="D3787" s="216"/>
    </row>
    <row r="3788" ht="15">
      <c r="D3788" s="216"/>
    </row>
    <row r="3789" ht="15">
      <c r="D3789" s="216"/>
    </row>
    <row r="3790" ht="15">
      <c r="D3790" s="216"/>
    </row>
    <row r="3791" ht="15">
      <c r="D3791" s="216"/>
    </row>
    <row r="3792" ht="15">
      <c r="D3792" s="216"/>
    </row>
    <row r="3793" ht="15">
      <c r="D3793" s="216"/>
    </row>
    <row r="3794" ht="15">
      <c r="D3794" s="216"/>
    </row>
    <row r="3795" ht="15">
      <c r="D3795" s="216"/>
    </row>
    <row r="3796" ht="15">
      <c r="D3796" s="216"/>
    </row>
    <row r="3797" ht="15">
      <c r="D3797" s="216"/>
    </row>
    <row r="3798" ht="15">
      <c r="D3798" s="216"/>
    </row>
    <row r="3799" ht="15">
      <c r="D3799" s="216"/>
    </row>
    <row r="3800" ht="15">
      <c r="D3800" s="216"/>
    </row>
    <row r="3801" ht="15">
      <c r="D3801" s="216"/>
    </row>
    <row r="3802" ht="15">
      <c r="D3802" s="216"/>
    </row>
    <row r="3803" ht="15">
      <c r="D3803" s="216"/>
    </row>
    <row r="3804" ht="15">
      <c r="D3804" s="216"/>
    </row>
    <row r="3805" ht="15">
      <c r="D3805" s="216"/>
    </row>
    <row r="3806" ht="15">
      <c r="D3806" s="216"/>
    </row>
    <row r="3807" ht="15">
      <c r="D3807" s="216"/>
    </row>
    <row r="3808" ht="15">
      <c r="D3808" s="216"/>
    </row>
    <row r="3809" ht="15">
      <c r="D3809" s="216"/>
    </row>
    <row r="3810" ht="15">
      <c r="D3810" s="216"/>
    </row>
    <row r="3811" ht="15">
      <c r="D3811" s="216"/>
    </row>
    <row r="3812" ht="15">
      <c r="D3812" s="216"/>
    </row>
    <row r="3813" ht="15">
      <c r="D3813" s="216"/>
    </row>
    <row r="3814" ht="15">
      <c r="D3814" s="216"/>
    </row>
    <row r="3815" ht="15">
      <c r="D3815" s="216"/>
    </row>
    <row r="3816" ht="15">
      <c r="D3816" s="216"/>
    </row>
    <row r="3817" ht="15">
      <c r="D3817" s="216"/>
    </row>
    <row r="3818" ht="15">
      <c r="D3818" s="216"/>
    </row>
    <row r="3819" ht="15">
      <c r="D3819" s="216"/>
    </row>
    <row r="3820" ht="15">
      <c r="D3820" s="216"/>
    </row>
    <row r="3821" ht="15">
      <c r="D3821" s="216"/>
    </row>
    <row r="3822" ht="15">
      <c r="D3822" s="216"/>
    </row>
    <row r="3823" ht="15">
      <c r="D3823" s="216"/>
    </row>
    <row r="3824" ht="15">
      <c r="D3824" s="216"/>
    </row>
    <row r="3825" ht="15">
      <c r="D3825" s="216"/>
    </row>
    <row r="3826" ht="15">
      <c r="D3826" s="216"/>
    </row>
    <row r="3827" ht="15">
      <c r="D3827" s="216"/>
    </row>
    <row r="3828" ht="15">
      <c r="D3828" s="216"/>
    </row>
    <row r="3829" ht="15">
      <c r="D3829" s="216"/>
    </row>
    <row r="3830" ht="15">
      <c r="D3830" s="216"/>
    </row>
    <row r="3831" ht="15">
      <c r="D3831" s="216"/>
    </row>
    <row r="3832" ht="15">
      <c r="D3832" s="216"/>
    </row>
    <row r="3833" ht="15">
      <c r="D3833" s="216"/>
    </row>
    <row r="3834" ht="15">
      <c r="D3834" s="216"/>
    </row>
    <row r="3835" ht="15">
      <c r="D3835" s="216"/>
    </row>
    <row r="3836" ht="15">
      <c r="D3836" s="216"/>
    </row>
    <row r="3837" ht="15">
      <c r="D3837" s="216"/>
    </row>
    <row r="3838" ht="15">
      <c r="D3838" s="216"/>
    </row>
    <row r="3839" ht="15">
      <c r="D3839" s="216"/>
    </row>
    <row r="3840" ht="15">
      <c r="D3840" s="216"/>
    </row>
    <row r="3841" ht="15">
      <c r="D3841" s="216"/>
    </row>
    <row r="3842" ht="15">
      <c r="D3842" s="216"/>
    </row>
    <row r="3843" ht="15">
      <c r="D3843" s="216"/>
    </row>
    <row r="3844" ht="15">
      <c r="D3844" s="216"/>
    </row>
    <row r="3845" ht="15">
      <c r="D3845" s="216"/>
    </row>
    <row r="3846" ht="15">
      <c r="D3846" s="216"/>
    </row>
    <row r="3847" ht="15">
      <c r="D3847" s="216"/>
    </row>
    <row r="3848" ht="15">
      <c r="D3848" s="216"/>
    </row>
    <row r="3849" ht="15">
      <c r="D3849" s="216"/>
    </row>
    <row r="3850" ht="15">
      <c r="D3850" s="216"/>
    </row>
    <row r="3851" ht="15">
      <c r="D3851" s="216"/>
    </row>
    <row r="3852" ht="15">
      <c r="D3852" s="216"/>
    </row>
    <row r="3853" ht="15">
      <c r="D3853" s="216"/>
    </row>
    <row r="3854" ht="15">
      <c r="D3854" s="216"/>
    </row>
    <row r="3855" ht="15">
      <c r="D3855" s="216"/>
    </row>
    <row r="3856" ht="15">
      <c r="D3856" s="216"/>
    </row>
    <row r="3857" ht="15">
      <c r="D3857" s="216"/>
    </row>
    <row r="3858" ht="15">
      <c r="D3858" s="216"/>
    </row>
    <row r="3859" ht="15">
      <c r="D3859" s="216"/>
    </row>
    <row r="3860" ht="15">
      <c r="D3860" s="216"/>
    </row>
    <row r="3861" ht="15">
      <c r="D3861" s="216"/>
    </row>
    <row r="3862" ht="15">
      <c r="D3862" s="216"/>
    </row>
    <row r="3863" ht="15">
      <c r="D3863" s="216"/>
    </row>
    <row r="3864" ht="15">
      <c r="D3864" s="216"/>
    </row>
    <row r="3865" ht="15">
      <c r="D3865" s="216"/>
    </row>
    <row r="3866" ht="15">
      <c r="D3866" s="216"/>
    </row>
    <row r="3867" ht="15">
      <c r="D3867" s="216"/>
    </row>
    <row r="3868" ht="15">
      <c r="D3868" s="216"/>
    </row>
    <row r="3869" ht="15">
      <c r="D3869" s="216"/>
    </row>
    <row r="3870" ht="15">
      <c r="D3870" s="216"/>
    </row>
    <row r="3871" ht="15">
      <c r="D3871" s="216"/>
    </row>
    <row r="3872" ht="15">
      <c r="D3872" s="216"/>
    </row>
    <row r="3873" ht="15">
      <c r="D3873" s="216"/>
    </row>
    <row r="3874" ht="15">
      <c r="D3874" s="216"/>
    </row>
    <row r="3875" ht="15">
      <c r="D3875" s="216"/>
    </row>
    <row r="3876" ht="15">
      <c r="D3876" s="216"/>
    </row>
    <row r="3877" ht="15">
      <c r="D3877" s="216"/>
    </row>
    <row r="3878" ht="15">
      <c r="D3878" s="216"/>
    </row>
    <row r="3879" ht="15">
      <c r="D3879" s="216"/>
    </row>
    <row r="3880" ht="15">
      <c r="D3880" s="216"/>
    </row>
    <row r="3881" ht="15">
      <c r="D3881" s="216"/>
    </row>
    <row r="3882" ht="15">
      <c r="D3882" s="216"/>
    </row>
    <row r="3883" ht="15">
      <c r="D3883" s="216"/>
    </row>
    <row r="3884" ht="15">
      <c r="D3884" s="216"/>
    </row>
    <row r="3885" ht="15">
      <c r="D3885" s="216"/>
    </row>
    <row r="3886" ht="15">
      <c r="D3886" s="216"/>
    </row>
    <row r="3887" ht="15">
      <c r="D3887" s="216"/>
    </row>
    <row r="3888" ht="15">
      <c r="D3888" s="216"/>
    </row>
    <row r="3889" ht="15">
      <c r="D3889" s="216"/>
    </row>
    <row r="3890" ht="15">
      <c r="D3890" s="216"/>
    </row>
    <row r="3891" ht="15">
      <c r="D3891" s="216"/>
    </row>
    <row r="3892" ht="15">
      <c r="D3892" s="216"/>
    </row>
    <row r="3893" ht="15">
      <c r="D3893" s="216"/>
    </row>
    <row r="3894" ht="15">
      <c r="D3894" s="216"/>
    </row>
    <row r="3895" ht="15">
      <c r="D3895" s="216"/>
    </row>
    <row r="3896" ht="15">
      <c r="D3896" s="216"/>
    </row>
    <row r="3897" ht="15">
      <c r="D3897" s="216"/>
    </row>
    <row r="3898" ht="15">
      <c r="D3898" s="216"/>
    </row>
    <row r="3899" ht="15">
      <c r="D3899" s="216"/>
    </row>
    <row r="3900" ht="15">
      <c r="D3900" s="216"/>
    </row>
    <row r="3901" ht="15">
      <c r="D3901" s="216"/>
    </row>
    <row r="3902" ht="15">
      <c r="D3902" s="216"/>
    </row>
    <row r="3903" ht="15">
      <c r="D3903" s="216"/>
    </row>
    <row r="3904" ht="15">
      <c r="D3904" s="216"/>
    </row>
    <row r="3905" ht="15">
      <c r="D3905" s="216"/>
    </row>
    <row r="3906" ht="15">
      <c r="D3906" s="216"/>
    </row>
    <row r="3907" ht="15">
      <c r="D3907" s="216"/>
    </row>
    <row r="3908" ht="15">
      <c r="D3908" s="216"/>
    </row>
    <row r="3909" ht="15">
      <c r="D3909" s="216"/>
    </row>
    <row r="3910" ht="15">
      <c r="D3910" s="216"/>
    </row>
    <row r="3911" ht="15">
      <c r="D3911" s="216"/>
    </row>
    <row r="3912" ht="15">
      <c r="D3912" s="216"/>
    </row>
    <row r="3913" ht="15">
      <c r="D3913" s="216"/>
    </row>
    <row r="3914" ht="15">
      <c r="D3914" s="216"/>
    </row>
    <row r="3915" ht="15">
      <c r="D3915" s="216"/>
    </row>
    <row r="3916" ht="15">
      <c r="D3916" s="216"/>
    </row>
    <row r="3917" ht="15">
      <c r="D3917" s="216"/>
    </row>
    <row r="3918" ht="15">
      <c r="D3918" s="216"/>
    </row>
    <row r="3919" ht="15">
      <c r="D3919" s="216"/>
    </row>
    <row r="3920" ht="15">
      <c r="D3920" s="216"/>
    </row>
    <row r="3921" ht="15">
      <c r="D3921" s="216"/>
    </row>
    <row r="3922" ht="15">
      <c r="D3922" s="216"/>
    </row>
    <row r="3923" ht="15">
      <c r="D3923" s="216"/>
    </row>
    <row r="3924" ht="15">
      <c r="D3924" s="216"/>
    </row>
    <row r="3925" ht="15">
      <c r="D3925" s="216"/>
    </row>
    <row r="3926" ht="15">
      <c r="D3926" s="216"/>
    </row>
    <row r="3927" ht="15">
      <c r="D3927" s="216"/>
    </row>
    <row r="3928" ht="15">
      <c r="D3928" s="216"/>
    </row>
    <row r="3929" ht="15">
      <c r="D3929" s="216"/>
    </row>
    <row r="3930" ht="15">
      <c r="D3930" s="216"/>
    </row>
    <row r="3931" ht="15">
      <c r="D3931" s="216"/>
    </row>
    <row r="3932" ht="15">
      <c r="D3932" s="216"/>
    </row>
    <row r="3933" ht="15">
      <c r="D3933" s="216"/>
    </row>
    <row r="3934" ht="15">
      <c r="D3934" s="216"/>
    </row>
    <row r="3935" ht="15">
      <c r="D3935" s="216"/>
    </row>
    <row r="3936" ht="15">
      <c r="D3936" s="216"/>
    </row>
    <row r="3937" ht="15">
      <c r="D3937" s="216"/>
    </row>
    <row r="3938" ht="15">
      <c r="D3938" s="216"/>
    </row>
    <row r="3939" ht="15">
      <c r="D3939" s="216"/>
    </row>
    <row r="3940" ht="15">
      <c r="D3940" s="216"/>
    </row>
    <row r="3941" ht="15">
      <c r="D3941" s="216"/>
    </row>
    <row r="3942" ht="15">
      <c r="D3942" s="216"/>
    </row>
    <row r="3943" ht="15">
      <c r="D3943" s="216"/>
    </row>
    <row r="3944" ht="15">
      <c r="D3944" s="216"/>
    </row>
    <row r="3945" ht="15">
      <c r="D3945" s="216"/>
    </row>
    <row r="3946" ht="15">
      <c r="D3946" s="216"/>
    </row>
    <row r="3947" ht="15">
      <c r="D3947" s="216"/>
    </row>
    <row r="3948" ht="15">
      <c r="D3948" s="216"/>
    </row>
    <row r="3949" ht="15">
      <c r="D3949" s="216"/>
    </row>
    <row r="3950" ht="15">
      <c r="D3950" s="216"/>
    </row>
    <row r="3951" ht="15">
      <c r="D3951" s="216"/>
    </row>
    <row r="3952" ht="15">
      <c r="D3952" s="216"/>
    </row>
    <row r="3953" ht="15">
      <c r="D3953" s="216"/>
    </row>
    <row r="3954" ht="15">
      <c r="D3954" s="216"/>
    </row>
    <row r="3955" ht="15">
      <c r="D3955" s="216"/>
    </row>
    <row r="3956" ht="15">
      <c r="D3956" s="216"/>
    </row>
    <row r="3957" ht="15">
      <c r="D3957" s="216"/>
    </row>
    <row r="3958" ht="15">
      <c r="D3958" s="216"/>
    </row>
    <row r="3959" ht="15">
      <c r="D3959" s="216"/>
    </row>
    <row r="3960" ht="15">
      <c r="D3960" s="216"/>
    </row>
    <row r="3961" ht="15">
      <c r="D3961" s="216"/>
    </row>
    <row r="3962" ht="15">
      <c r="D3962" s="216"/>
    </row>
    <row r="3963" ht="15">
      <c r="D3963" s="216"/>
    </row>
    <row r="3964" ht="15">
      <c r="D3964" s="216"/>
    </row>
    <row r="3965" ht="15">
      <c r="D3965" s="216"/>
    </row>
    <row r="3966" ht="15">
      <c r="D3966" s="216"/>
    </row>
    <row r="3967" ht="15">
      <c r="D3967" s="216"/>
    </row>
    <row r="3968" ht="15">
      <c r="D3968" s="216"/>
    </row>
    <row r="3969" ht="15">
      <c r="D3969" s="216"/>
    </row>
    <row r="3970" ht="15">
      <c r="D3970" s="216"/>
    </row>
    <row r="3971" ht="15">
      <c r="D3971" s="216"/>
    </row>
    <row r="3972" ht="15">
      <c r="D3972" s="216"/>
    </row>
    <row r="3973" ht="15">
      <c r="D3973" s="216"/>
    </row>
    <row r="3974" ht="15">
      <c r="D3974" s="216"/>
    </row>
    <row r="3975" ht="15">
      <c r="D3975" s="216"/>
    </row>
    <row r="3976" ht="15">
      <c r="D3976" s="216"/>
    </row>
    <row r="3977" ht="15">
      <c r="D3977" s="216"/>
    </row>
    <row r="3978" ht="15">
      <c r="D3978" s="216"/>
    </row>
    <row r="3979" ht="15">
      <c r="D3979" s="216"/>
    </row>
    <row r="3980" ht="15">
      <c r="D3980" s="216"/>
    </row>
    <row r="3981" ht="15">
      <c r="D3981" s="216"/>
    </row>
    <row r="3982" ht="15">
      <c r="D3982" s="216"/>
    </row>
    <row r="3983" ht="15">
      <c r="D3983" s="216"/>
    </row>
    <row r="3984" ht="15">
      <c r="D3984" s="216"/>
    </row>
    <row r="3985" ht="15">
      <c r="D3985" s="216"/>
    </row>
    <row r="3986" ht="15">
      <c r="D3986" s="216"/>
    </row>
    <row r="3987" ht="15">
      <c r="D3987" s="216"/>
    </row>
    <row r="3988" ht="15">
      <c r="D3988" s="216"/>
    </row>
    <row r="3989" ht="15">
      <c r="D3989" s="216"/>
    </row>
    <row r="3990" ht="15">
      <c r="D3990" s="216"/>
    </row>
    <row r="3991" ht="15">
      <c r="D3991" s="216"/>
    </row>
    <row r="3992" ht="15">
      <c r="D3992" s="216"/>
    </row>
    <row r="3993" ht="15">
      <c r="D3993" s="216"/>
    </row>
    <row r="3994" ht="15">
      <c r="D3994" s="216"/>
    </row>
    <row r="3995" ht="15">
      <c r="D3995" s="216"/>
    </row>
    <row r="3996" ht="15">
      <c r="D3996" s="216"/>
    </row>
    <row r="3997" ht="15">
      <c r="D3997" s="216"/>
    </row>
    <row r="3998" ht="15">
      <c r="D3998" s="216"/>
    </row>
    <row r="3999" ht="15">
      <c r="D3999" s="216"/>
    </row>
    <row r="4000" ht="15">
      <c r="D4000" s="216"/>
    </row>
    <row r="4001" ht="15">
      <c r="D4001" s="216"/>
    </row>
    <row r="4002" ht="15">
      <c r="D4002" s="216"/>
    </row>
    <row r="4003" ht="15">
      <c r="D4003" s="216"/>
    </row>
    <row r="4004" ht="15">
      <c r="D4004" s="216"/>
    </row>
    <row r="4005" ht="15">
      <c r="D4005" s="216"/>
    </row>
    <row r="4006" ht="15">
      <c r="D4006" s="216"/>
    </row>
    <row r="4007" ht="15">
      <c r="D4007" s="216"/>
    </row>
    <row r="4008" ht="15">
      <c r="D4008" s="216"/>
    </row>
    <row r="4009" ht="15">
      <c r="D4009" s="216"/>
    </row>
    <row r="4010" ht="15">
      <c r="D4010" s="216"/>
    </row>
    <row r="4011" ht="15">
      <c r="D4011" s="216"/>
    </row>
    <row r="4012" ht="15">
      <c r="D4012" s="216"/>
    </row>
    <row r="4013" ht="15">
      <c r="D4013" s="216"/>
    </row>
    <row r="4014" ht="15">
      <c r="D4014" s="216"/>
    </row>
    <row r="4015" ht="15">
      <c r="D4015" s="216"/>
    </row>
    <row r="4016" ht="15">
      <c r="D4016" s="216"/>
    </row>
    <row r="4017" ht="15">
      <c r="D4017" s="216"/>
    </row>
    <row r="4018" ht="15">
      <c r="D4018" s="216"/>
    </row>
    <row r="4019" ht="15">
      <c r="D4019" s="216"/>
    </row>
    <row r="4020" ht="15">
      <c r="D4020" s="216"/>
    </row>
    <row r="4021" ht="15">
      <c r="D4021" s="216"/>
    </row>
    <row r="4022" ht="15">
      <c r="D4022" s="216"/>
    </row>
    <row r="4023" ht="15">
      <c r="D4023" s="216"/>
    </row>
    <row r="4024" ht="15">
      <c r="D4024" s="216"/>
    </row>
    <row r="4025" ht="15">
      <c r="D4025" s="216"/>
    </row>
    <row r="4026" ht="15">
      <c r="D4026" s="216"/>
    </row>
    <row r="4027" ht="15">
      <c r="D4027" s="216"/>
    </row>
    <row r="4028" ht="15">
      <c r="D4028" s="216"/>
    </row>
    <row r="4029" ht="15">
      <c r="D4029" s="216"/>
    </row>
    <row r="4030" ht="15">
      <c r="D4030" s="216"/>
    </row>
    <row r="4031" ht="15">
      <c r="D4031" s="216"/>
    </row>
    <row r="4032" ht="15">
      <c r="D4032" s="216"/>
    </row>
    <row r="4033" ht="15">
      <c r="D4033" s="216"/>
    </row>
    <row r="4034" ht="15">
      <c r="D4034" s="216"/>
    </row>
    <row r="4035" ht="15">
      <c r="D4035" s="216"/>
    </row>
    <row r="4036" ht="15">
      <c r="D4036" s="216"/>
    </row>
    <row r="4037" ht="15">
      <c r="D4037" s="216"/>
    </row>
    <row r="4038" ht="15">
      <c r="D4038" s="216"/>
    </row>
    <row r="4039" ht="15">
      <c r="D4039" s="216"/>
    </row>
    <row r="4040" ht="15">
      <c r="D4040" s="216"/>
    </row>
    <row r="4041" ht="15">
      <c r="D4041" s="216"/>
    </row>
    <row r="4042" ht="15">
      <c r="D4042" s="216"/>
    </row>
    <row r="4043" ht="15">
      <c r="D4043" s="216"/>
    </row>
    <row r="4044" ht="15">
      <c r="D4044" s="216"/>
    </row>
    <row r="4045" ht="15">
      <c r="D4045" s="216"/>
    </row>
    <row r="4046" ht="15">
      <c r="D4046" s="216"/>
    </row>
    <row r="4047" ht="15">
      <c r="D4047" s="216"/>
    </row>
    <row r="4048" ht="15">
      <c r="D4048" s="216"/>
    </row>
    <row r="4049" ht="15">
      <c r="D4049" s="216"/>
    </row>
    <row r="4050" ht="15">
      <c r="D4050" s="216"/>
    </row>
    <row r="4051" ht="15">
      <c r="D4051" s="216"/>
    </row>
    <row r="4052" ht="15">
      <c r="D4052" s="216"/>
    </row>
    <row r="4053" ht="15">
      <c r="D4053" s="216"/>
    </row>
    <row r="4054" ht="15">
      <c r="D4054" s="216"/>
    </row>
    <row r="4055" ht="15">
      <c r="D4055" s="216"/>
    </row>
    <row r="4056" ht="15">
      <c r="D4056" s="216"/>
    </row>
    <row r="4057" ht="15">
      <c r="D4057" s="216"/>
    </row>
    <row r="4058" ht="15">
      <c r="D4058" s="216"/>
    </row>
    <row r="4059" ht="15">
      <c r="D4059" s="216"/>
    </row>
    <row r="4060" ht="15">
      <c r="D4060" s="216"/>
    </row>
    <row r="4061" ht="15">
      <c r="D4061" s="216"/>
    </row>
    <row r="4062" ht="15">
      <c r="D4062" s="216"/>
    </row>
    <row r="4063" ht="15">
      <c r="D4063" s="216"/>
    </row>
    <row r="4064" ht="15">
      <c r="D4064" s="216"/>
    </row>
    <row r="4065" ht="15">
      <c r="D4065" s="216"/>
    </row>
    <row r="4066" ht="15">
      <c r="D4066" s="216"/>
    </row>
    <row r="4067" ht="15">
      <c r="D4067" s="216"/>
    </row>
    <row r="4068" ht="15">
      <c r="D4068" s="216"/>
    </row>
    <row r="4069" ht="15">
      <c r="D4069" s="216"/>
    </row>
    <row r="4070" ht="15">
      <c r="D4070" s="216"/>
    </row>
    <row r="4071" ht="15">
      <c r="D4071" s="216"/>
    </row>
    <row r="4072" ht="15">
      <c r="D4072" s="216"/>
    </row>
    <row r="4073" ht="15">
      <c r="D4073" s="216"/>
    </row>
    <row r="4074" ht="15">
      <c r="D4074" s="216"/>
    </row>
    <row r="4075" ht="15">
      <c r="D4075" s="216"/>
    </row>
    <row r="4076" ht="15">
      <c r="D4076" s="216"/>
    </row>
    <row r="4077" ht="15">
      <c r="D4077" s="216"/>
    </row>
    <row r="4078" ht="15">
      <c r="D4078" s="216"/>
    </row>
    <row r="4079" ht="15">
      <c r="D4079" s="216"/>
    </row>
    <row r="4080" ht="15">
      <c r="D4080" s="216"/>
    </row>
    <row r="4081" ht="15">
      <c r="D4081" s="216"/>
    </row>
    <row r="4082" ht="15">
      <c r="D4082" s="216"/>
    </row>
    <row r="4083" ht="15">
      <c r="D4083" s="216"/>
    </row>
    <row r="4084" ht="15">
      <c r="D4084" s="216"/>
    </row>
    <row r="4085" ht="15">
      <c r="D4085" s="216"/>
    </row>
    <row r="4086" ht="15">
      <c r="D4086" s="216"/>
    </row>
    <row r="4087" ht="15">
      <c r="D4087" s="216"/>
    </row>
    <row r="4088" ht="15">
      <c r="D4088" s="216"/>
    </row>
    <row r="4089" ht="15">
      <c r="D4089" s="216"/>
    </row>
    <row r="4090" ht="15">
      <c r="D4090" s="216"/>
    </row>
    <row r="4091" ht="15">
      <c r="D4091" s="216"/>
    </row>
    <row r="4092" ht="15">
      <c r="D4092" s="216"/>
    </row>
    <row r="4093" ht="15">
      <c r="D4093" s="216"/>
    </row>
    <row r="4094" ht="15">
      <c r="D4094" s="216"/>
    </row>
    <row r="4095" ht="15">
      <c r="D4095" s="216"/>
    </row>
    <row r="4096" ht="15">
      <c r="D4096" s="216"/>
    </row>
    <row r="4097" ht="15">
      <c r="D4097" s="216"/>
    </row>
    <row r="4098" ht="15">
      <c r="D4098" s="216"/>
    </row>
    <row r="4099" ht="15">
      <c r="D4099" s="216"/>
    </row>
    <row r="4100" ht="15">
      <c r="D4100" s="216"/>
    </row>
    <row r="4101" ht="15">
      <c r="D4101" s="216"/>
    </row>
    <row r="4102" ht="15">
      <c r="D4102" s="216"/>
    </row>
    <row r="4103" ht="15">
      <c r="D4103" s="216"/>
    </row>
    <row r="4104" ht="15">
      <c r="D4104" s="216"/>
    </row>
    <row r="4105" ht="15">
      <c r="D4105" s="216"/>
    </row>
    <row r="4106" ht="15">
      <c r="D4106" s="216"/>
    </row>
    <row r="4107" ht="15">
      <c r="D4107" s="216"/>
    </row>
    <row r="4108" ht="15">
      <c r="D4108" s="216"/>
    </row>
    <row r="4109" ht="15">
      <c r="D4109" s="216"/>
    </row>
    <row r="4110" ht="15">
      <c r="D4110" s="216"/>
    </row>
    <row r="4111" ht="15">
      <c r="D4111" s="216"/>
    </row>
    <row r="4112" ht="15">
      <c r="D4112" s="216"/>
    </row>
    <row r="4113" ht="15">
      <c r="D4113" s="216"/>
    </row>
    <row r="4114" ht="15">
      <c r="D4114" s="216"/>
    </row>
    <row r="4115" ht="15">
      <c r="D4115" s="216"/>
    </row>
    <row r="4116" ht="15">
      <c r="D4116" s="216"/>
    </row>
    <row r="4117" ht="15">
      <c r="D4117" s="216"/>
    </row>
    <row r="4118" ht="15">
      <c r="D4118" s="216"/>
    </row>
    <row r="4119" ht="15">
      <c r="D4119" s="216"/>
    </row>
    <row r="4120" ht="15">
      <c r="D4120" s="216"/>
    </row>
    <row r="4121" ht="15">
      <c r="D4121" s="216"/>
    </row>
    <row r="4122" ht="15">
      <c r="D4122" s="216"/>
    </row>
    <row r="4123" ht="15">
      <c r="D4123" s="216"/>
    </row>
    <row r="4124" ht="15">
      <c r="D4124" s="216"/>
    </row>
    <row r="4125" ht="15">
      <c r="D4125" s="216"/>
    </row>
    <row r="4126" ht="15">
      <c r="D4126" s="216"/>
    </row>
    <row r="4127" ht="15">
      <c r="D4127" s="216"/>
    </row>
    <row r="4128" ht="15">
      <c r="D4128" s="216"/>
    </row>
    <row r="4129" ht="15">
      <c r="D4129" s="216"/>
    </row>
    <row r="4130" ht="15">
      <c r="D4130" s="216"/>
    </row>
    <row r="4131" ht="15">
      <c r="D4131" s="216"/>
    </row>
    <row r="4132" ht="15">
      <c r="D4132" s="216"/>
    </row>
    <row r="4133" ht="15">
      <c r="D4133" s="216"/>
    </row>
    <row r="4134" ht="15">
      <c r="D4134" s="216"/>
    </row>
    <row r="4135" ht="15">
      <c r="D4135" s="216"/>
    </row>
    <row r="4136" ht="15">
      <c r="D4136" s="216"/>
    </row>
    <row r="4137" ht="15">
      <c r="D4137" s="216"/>
    </row>
    <row r="4138" ht="15">
      <c r="D4138" s="216"/>
    </row>
    <row r="4139" ht="15">
      <c r="D4139" s="216"/>
    </row>
    <row r="4140" ht="15">
      <c r="D4140" s="216"/>
    </row>
    <row r="4141" ht="15">
      <c r="D4141" s="216"/>
    </row>
    <row r="4142" ht="15">
      <c r="D4142" s="216"/>
    </row>
    <row r="4143" ht="15">
      <c r="D4143" s="216"/>
    </row>
    <row r="4144" ht="15">
      <c r="D4144" s="216"/>
    </row>
    <row r="4145" ht="15">
      <c r="D4145" s="216"/>
    </row>
    <row r="4146" ht="15">
      <c r="D4146" s="216"/>
    </row>
    <row r="4147" ht="15">
      <c r="D4147" s="216"/>
    </row>
    <row r="4148" ht="15">
      <c r="D4148" s="216"/>
    </row>
    <row r="4149" ht="15">
      <c r="D4149" s="216"/>
    </row>
    <row r="4150" ht="15">
      <c r="D4150" s="216"/>
    </row>
    <row r="4151" ht="15">
      <c r="D4151" s="216"/>
    </row>
    <row r="4152" ht="15">
      <c r="D4152" s="216"/>
    </row>
    <row r="4153" ht="15">
      <c r="D4153" s="216"/>
    </row>
    <row r="4154" ht="15">
      <c r="D4154" s="216"/>
    </row>
    <row r="4155" ht="15">
      <c r="D4155" s="216"/>
    </row>
    <row r="4156" ht="15">
      <c r="D4156" s="216"/>
    </row>
    <row r="4157" ht="15">
      <c r="D4157" s="216"/>
    </row>
    <row r="4158" ht="15">
      <c r="D4158" s="216"/>
    </row>
    <row r="4159" ht="15">
      <c r="D4159" s="216"/>
    </row>
    <row r="4160" ht="15">
      <c r="D4160" s="216"/>
    </row>
    <row r="4161" ht="15">
      <c r="D4161" s="216"/>
    </row>
    <row r="4162" ht="15">
      <c r="D4162" s="216"/>
    </row>
    <row r="4163" ht="15">
      <c r="D4163" s="216"/>
    </row>
    <row r="4164" ht="15">
      <c r="D4164" s="216"/>
    </row>
    <row r="4165" ht="15">
      <c r="D4165" s="216"/>
    </row>
    <row r="4166" ht="15">
      <c r="D4166" s="216"/>
    </row>
    <row r="4167" ht="15">
      <c r="D4167" s="216"/>
    </row>
    <row r="4168" ht="15">
      <c r="D4168" s="216"/>
    </row>
    <row r="4169" ht="15">
      <c r="D4169" s="216"/>
    </row>
    <row r="4170" ht="15">
      <c r="D4170" s="216"/>
    </row>
    <row r="4171" ht="15">
      <c r="D4171" s="216"/>
    </row>
    <row r="4172" ht="15">
      <c r="D4172" s="216"/>
    </row>
    <row r="4173" ht="15">
      <c r="D4173" s="216"/>
    </row>
    <row r="4174" ht="15">
      <c r="D4174" s="216"/>
    </row>
    <row r="4175" ht="15">
      <c r="D4175" s="216"/>
    </row>
    <row r="4176" ht="15">
      <c r="D4176" s="216"/>
    </row>
    <row r="4177" ht="15">
      <c r="D4177" s="216"/>
    </row>
    <row r="4178" ht="15">
      <c r="D4178" s="216"/>
    </row>
    <row r="4179" ht="15">
      <c r="D4179" s="216"/>
    </row>
    <row r="4180" ht="15">
      <c r="D4180" s="216"/>
    </row>
    <row r="4181" ht="15">
      <c r="D4181" s="216"/>
    </row>
    <row r="4182" ht="15">
      <c r="D4182" s="216"/>
    </row>
    <row r="4183" ht="15">
      <c r="D4183" s="216"/>
    </row>
    <row r="4184" ht="15">
      <c r="D4184" s="216"/>
    </row>
    <row r="4185" ht="15">
      <c r="D4185" s="216"/>
    </row>
    <row r="4186" ht="15">
      <c r="D4186" s="216"/>
    </row>
    <row r="4187" ht="15">
      <c r="D4187" s="216"/>
    </row>
    <row r="4188" ht="15">
      <c r="D4188" s="216"/>
    </row>
    <row r="4189" ht="15">
      <c r="D4189" s="216"/>
    </row>
    <row r="4190" ht="15">
      <c r="D4190" s="216"/>
    </row>
    <row r="4191" ht="15">
      <c r="D4191" s="216"/>
    </row>
    <row r="4192" ht="15">
      <c r="D4192" s="216"/>
    </row>
    <row r="4193" ht="15">
      <c r="D4193" s="216"/>
    </row>
    <row r="4194" ht="15">
      <c r="D4194" s="216"/>
    </row>
    <row r="4195" ht="15">
      <c r="D4195" s="216"/>
    </row>
    <row r="4196" ht="15">
      <c r="D4196" s="216"/>
    </row>
    <row r="4197" ht="15">
      <c r="D4197" s="216"/>
    </row>
    <row r="4198" ht="15">
      <c r="D4198" s="216"/>
    </row>
    <row r="4199" ht="15">
      <c r="D4199" s="216"/>
    </row>
    <row r="4200" ht="15">
      <c r="D4200" s="216"/>
    </row>
    <row r="4201" ht="15">
      <c r="D4201" s="216"/>
    </row>
    <row r="4202" ht="15">
      <c r="D4202" s="216"/>
    </row>
    <row r="4203" ht="15">
      <c r="D4203" s="216"/>
    </row>
    <row r="4204" ht="15">
      <c r="D4204" s="216"/>
    </row>
    <row r="4205" ht="15">
      <c r="D4205" s="216"/>
    </row>
    <row r="4206" ht="15">
      <c r="D4206" s="216"/>
    </row>
    <row r="4207" ht="15">
      <c r="D4207" s="216"/>
    </row>
    <row r="4208" ht="15">
      <c r="D4208" s="216"/>
    </row>
    <row r="4209" ht="15">
      <c r="D4209" s="216"/>
    </row>
    <row r="4210" ht="15">
      <c r="D4210" s="216"/>
    </row>
    <row r="4211" ht="15">
      <c r="D4211" s="216"/>
    </row>
    <row r="4212" ht="15">
      <c r="D4212" s="216"/>
    </row>
    <row r="4213" ht="15">
      <c r="D4213" s="216"/>
    </row>
    <row r="4214" ht="15">
      <c r="D4214" s="216"/>
    </row>
    <row r="4215" ht="15">
      <c r="D4215" s="216"/>
    </row>
    <row r="4216" ht="15">
      <c r="D4216" s="216"/>
    </row>
    <row r="4217" ht="15">
      <c r="D4217" s="216"/>
    </row>
    <row r="4218" ht="15">
      <c r="D4218" s="216"/>
    </row>
    <row r="4219" ht="15">
      <c r="D4219" s="216"/>
    </row>
    <row r="4220" ht="15">
      <c r="D4220" s="216"/>
    </row>
    <row r="4221" ht="15">
      <c r="D4221" s="216"/>
    </row>
    <row r="4222" ht="15">
      <c r="D4222" s="216"/>
    </row>
    <row r="4223" ht="15">
      <c r="D4223" s="216"/>
    </row>
    <row r="4224" ht="15">
      <c r="D4224" s="216"/>
    </row>
    <row r="4225" ht="15">
      <c r="D4225" s="216"/>
    </row>
    <row r="4226" ht="15">
      <c r="D4226" s="216"/>
    </row>
    <row r="4227" ht="15">
      <c r="D4227" s="216"/>
    </row>
    <row r="4228" ht="15">
      <c r="D4228" s="216"/>
    </row>
    <row r="4229" ht="15">
      <c r="D4229" s="216"/>
    </row>
    <row r="4230" ht="15">
      <c r="D4230" s="216"/>
    </row>
    <row r="4231" ht="15">
      <c r="D4231" s="216"/>
    </row>
    <row r="4232" ht="15">
      <c r="D4232" s="216"/>
    </row>
    <row r="4233" ht="15">
      <c r="D4233" s="216"/>
    </row>
    <row r="4234" ht="15">
      <c r="D4234" s="216"/>
    </row>
    <row r="4235" ht="15">
      <c r="D4235" s="216"/>
    </row>
    <row r="4236" ht="15">
      <c r="D4236" s="216"/>
    </row>
    <row r="4237" ht="15">
      <c r="D4237" s="216"/>
    </row>
    <row r="4238" ht="15">
      <c r="D4238" s="216"/>
    </row>
    <row r="4239" ht="15">
      <c r="D4239" s="216"/>
    </row>
    <row r="4240" ht="15">
      <c r="D4240" s="216"/>
    </row>
    <row r="4241" ht="15">
      <c r="D4241" s="216"/>
    </row>
    <row r="4242" ht="15">
      <c r="D4242" s="216"/>
    </row>
    <row r="4243" ht="15">
      <c r="D4243" s="216"/>
    </row>
    <row r="4244" ht="15">
      <c r="D4244" s="216"/>
    </row>
    <row r="4245" ht="15">
      <c r="D4245" s="216"/>
    </row>
    <row r="4246" ht="15">
      <c r="D4246" s="216"/>
    </row>
    <row r="4247" ht="15">
      <c r="D4247" s="216"/>
    </row>
    <row r="4248" ht="15">
      <c r="D4248" s="216"/>
    </row>
    <row r="4249" ht="15">
      <c r="D4249" s="216"/>
    </row>
    <row r="4250" ht="15">
      <c r="D4250" s="216"/>
    </row>
    <row r="4251" ht="15">
      <c r="D4251" s="216"/>
    </row>
    <row r="4252" ht="15">
      <c r="D4252" s="216"/>
    </row>
    <row r="4253" ht="15">
      <c r="D4253" s="216"/>
    </row>
    <row r="4254" ht="15">
      <c r="D4254" s="216"/>
    </row>
    <row r="4255" ht="15">
      <c r="D4255" s="216"/>
    </row>
    <row r="4256" ht="15">
      <c r="D4256" s="216"/>
    </row>
    <row r="4257" ht="15">
      <c r="D4257" s="216"/>
    </row>
    <row r="4258" ht="15">
      <c r="D4258" s="216"/>
    </row>
    <row r="4259" ht="15">
      <c r="D4259" s="216"/>
    </row>
    <row r="4260" ht="15">
      <c r="D4260" s="216"/>
    </row>
    <row r="4261" ht="15">
      <c r="D4261" s="216"/>
    </row>
    <row r="4262" ht="15">
      <c r="D4262" s="216"/>
    </row>
    <row r="4263" ht="15">
      <c r="D4263" s="216"/>
    </row>
    <row r="4264" ht="15">
      <c r="D4264" s="216"/>
    </row>
    <row r="4265" ht="15">
      <c r="D4265" s="216"/>
    </row>
    <row r="4266" ht="15">
      <c r="D4266" s="216"/>
    </row>
    <row r="4267" ht="15">
      <c r="D4267" s="216"/>
    </row>
    <row r="4268" ht="15">
      <c r="D4268" s="216"/>
    </row>
    <row r="4269" ht="15">
      <c r="D4269" s="216"/>
    </row>
    <row r="4270" ht="15">
      <c r="D4270" s="216"/>
    </row>
    <row r="4271" ht="15">
      <c r="D4271" s="216"/>
    </row>
    <row r="4272" ht="15">
      <c r="D4272" s="216"/>
    </row>
    <row r="4273" ht="15">
      <c r="D4273" s="216"/>
    </row>
    <row r="4274" ht="15">
      <c r="D4274" s="216"/>
    </row>
    <row r="4275" ht="15">
      <c r="D4275" s="216"/>
    </row>
    <row r="4276" ht="15">
      <c r="D4276" s="216"/>
    </row>
    <row r="4277" ht="15">
      <c r="D4277" s="216"/>
    </row>
    <row r="4278" ht="15">
      <c r="D4278" s="216"/>
    </row>
    <row r="4279" ht="15">
      <c r="D4279" s="216"/>
    </row>
    <row r="4280" ht="15">
      <c r="D4280" s="216"/>
    </row>
    <row r="4281" ht="15">
      <c r="D4281" s="216"/>
    </row>
    <row r="4282" ht="15">
      <c r="D4282" s="216"/>
    </row>
    <row r="4283" ht="15">
      <c r="D4283" s="216"/>
    </row>
    <row r="4284" ht="15">
      <c r="D4284" s="216"/>
    </row>
    <row r="4285" ht="15">
      <c r="D4285" s="216"/>
    </row>
    <row r="4286" ht="15">
      <c r="D4286" s="216"/>
    </row>
    <row r="4287" ht="15">
      <c r="D4287" s="216"/>
    </row>
    <row r="4288" ht="15">
      <c r="D4288" s="216"/>
    </row>
    <row r="4289" ht="15">
      <c r="D4289" s="216"/>
    </row>
    <row r="4290" ht="15">
      <c r="D4290" s="216"/>
    </row>
    <row r="4291" ht="15">
      <c r="D4291" s="216"/>
    </row>
    <row r="4292" ht="15">
      <c r="D4292" s="216"/>
    </row>
    <row r="4293" ht="15">
      <c r="D4293" s="216"/>
    </row>
    <row r="4294" ht="15">
      <c r="D4294" s="216"/>
    </row>
    <row r="4295" ht="15">
      <c r="D4295" s="216"/>
    </row>
    <row r="4296" ht="15">
      <c r="D4296" s="216"/>
    </row>
    <row r="4297" ht="15">
      <c r="D4297" s="216"/>
    </row>
    <row r="4298" ht="15">
      <c r="D4298" s="216"/>
    </row>
    <row r="4299" ht="15">
      <c r="D4299" s="216"/>
    </row>
    <row r="4300" ht="15">
      <c r="D4300" s="216"/>
    </row>
    <row r="4301" ht="15">
      <c r="D4301" s="216"/>
    </row>
    <row r="4302" ht="15">
      <c r="D4302" s="216"/>
    </row>
    <row r="4303" ht="15">
      <c r="D4303" s="216"/>
    </row>
    <row r="4304" ht="15">
      <c r="D4304" s="216"/>
    </row>
    <row r="4305" ht="15">
      <c r="D4305" s="216"/>
    </row>
    <row r="4306" ht="15">
      <c r="D4306" s="216"/>
    </row>
    <row r="4307" ht="15">
      <c r="D4307" s="216"/>
    </row>
    <row r="4308" ht="15">
      <c r="D4308" s="216"/>
    </row>
    <row r="4309" ht="15">
      <c r="D4309" s="216"/>
    </row>
    <row r="4310" ht="15">
      <c r="D4310" s="216"/>
    </row>
    <row r="4311" ht="15">
      <c r="D4311" s="216"/>
    </row>
    <row r="4312" ht="15">
      <c r="D4312" s="216"/>
    </row>
    <row r="4313" ht="15">
      <c r="D4313" s="216"/>
    </row>
    <row r="4314" ht="15">
      <c r="D4314" s="216"/>
    </row>
    <row r="4315" ht="15">
      <c r="D4315" s="216"/>
    </row>
    <row r="4316" ht="15">
      <c r="D4316" s="216"/>
    </row>
    <row r="4317" ht="15">
      <c r="D4317" s="216"/>
    </row>
    <row r="4318" ht="15">
      <c r="D4318" s="216"/>
    </row>
    <row r="4319" ht="15">
      <c r="D4319" s="216"/>
    </row>
    <row r="4320" ht="15">
      <c r="D4320" s="216"/>
    </row>
    <row r="4321" ht="15">
      <c r="D4321" s="216"/>
    </row>
    <row r="4322" ht="15">
      <c r="D4322" s="216"/>
    </row>
    <row r="4323" ht="15">
      <c r="D4323" s="216"/>
    </row>
    <row r="4324" ht="15">
      <c r="D4324" s="216"/>
    </row>
    <row r="4325" ht="15">
      <c r="D4325" s="216"/>
    </row>
    <row r="4326" ht="15">
      <c r="D4326" s="216"/>
    </row>
    <row r="4327" ht="15">
      <c r="D4327" s="216"/>
    </row>
    <row r="4328" ht="15">
      <c r="D4328" s="216"/>
    </row>
    <row r="4329" ht="15">
      <c r="D4329" s="216"/>
    </row>
    <row r="4330" ht="15">
      <c r="D4330" s="216"/>
    </row>
    <row r="4331" ht="15">
      <c r="D4331" s="216"/>
    </row>
    <row r="4332" ht="15">
      <c r="D4332" s="216"/>
    </row>
    <row r="4333" ht="15">
      <c r="D4333" s="216"/>
    </row>
    <row r="4334" ht="15">
      <c r="D4334" s="216"/>
    </row>
    <row r="4335" ht="15">
      <c r="D4335" s="216"/>
    </row>
    <row r="4336" ht="15">
      <c r="D4336" s="216"/>
    </row>
    <row r="4337" ht="15">
      <c r="D4337" s="216"/>
    </row>
    <row r="4338" ht="15">
      <c r="D4338" s="216"/>
    </row>
    <row r="4339" ht="15">
      <c r="D4339" s="216"/>
    </row>
    <row r="4340" ht="15">
      <c r="D4340" s="216"/>
    </row>
    <row r="4341" ht="15">
      <c r="D4341" s="216"/>
    </row>
    <row r="4342" ht="15">
      <c r="D4342" s="216"/>
    </row>
    <row r="4343" ht="15">
      <c r="D4343" s="216"/>
    </row>
    <row r="4344" ht="15">
      <c r="D4344" s="216"/>
    </row>
    <row r="4345" ht="15">
      <c r="D4345" s="216"/>
    </row>
    <row r="4346" ht="15">
      <c r="D4346" s="216"/>
    </row>
    <row r="4347" ht="15">
      <c r="D4347" s="216"/>
    </row>
    <row r="4348" ht="15">
      <c r="D4348" s="216"/>
    </row>
    <row r="4349" ht="15">
      <c r="D4349" s="216"/>
    </row>
    <row r="4350" ht="15">
      <c r="D4350" s="216"/>
    </row>
    <row r="4351" ht="15">
      <c r="D4351" s="216"/>
    </row>
    <row r="4352" ht="15">
      <c r="D4352" s="216"/>
    </row>
    <row r="4353" ht="15">
      <c r="D4353" s="216"/>
    </row>
    <row r="4354" ht="15">
      <c r="D4354" s="216"/>
    </row>
    <row r="4355" ht="15">
      <c r="D4355" s="216"/>
    </row>
    <row r="4356" ht="15">
      <c r="D4356" s="216"/>
    </row>
    <row r="4357" ht="15">
      <c r="D4357" s="216"/>
    </row>
    <row r="4358" ht="15">
      <c r="D4358" s="216"/>
    </row>
    <row r="4359" ht="15">
      <c r="D4359" s="216"/>
    </row>
    <row r="4360" ht="15">
      <c r="D4360" s="216"/>
    </row>
    <row r="4361" ht="15">
      <c r="D4361" s="216"/>
    </row>
    <row r="4362" ht="15">
      <c r="D4362" s="216"/>
    </row>
    <row r="4363" ht="15">
      <c r="D4363" s="216"/>
    </row>
    <row r="4364" ht="15">
      <c r="D4364" s="216"/>
    </row>
    <row r="4365" ht="15">
      <c r="D4365" s="216"/>
    </row>
    <row r="4366" ht="15">
      <c r="D4366" s="216"/>
    </row>
    <row r="4367" ht="15">
      <c r="D4367" s="216"/>
    </row>
    <row r="4368" ht="15">
      <c r="D4368" s="216"/>
    </row>
    <row r="4369" ht="15">
      <c r="D4369" s="216"/>
    </row>
    <row r="4370" ht="15">
      <c r="D4370" s="216"/>
    </row>
    <row r="4371" ht="15">
      <c r="D4371" s="216"/>
    </row>
    <row r="4372" ht="15">
      <c r="D4372" s="216"/>
    </row>
    <row r="4373" ht="15">
      <c r="D4373" s="216"/>
    </row>
    <row r="4374" ht="15">
      <c r="D4374" s="216"/>
    </row>
    <row r="4375" ht="15">
      <c r="D4375" s="216"/>
    </row>
    <row r="4376" ht="15">
      <c r="D4376" s="216"/>
    </row>
    <row r="4377" ht="15">
      <c r="D4377" s="216"/>
    </row>
    <row r="4378" ht="15">
      <c r="D4378" s="216"/>
    </row>
    <row r="4379" ht="15">
      <c r="D4379" s="216"/>
    </row>
    <row r="4380" ht="15">
      <c r="D4380" s="216"/>
    </row>
    <row r="4381" ht="15">
      <c r="D4381" s="216"/>
    </row>
    <row r="4382" ht="15">
      <c r="D4382" s="216"/>
    </row>
    <row r="4383" ht="15">
      <c r="D4383" s="216"/>
    </row>
    <row r="4384" ht="15">
      <c r="D4384" s="216"/>
    </row>
    <row r="4385" ht="15">
      <c r="D4385" s="216"/>
    </row>
    <row r="4386" ht="15">
      <c r="D4386" s="216"/>
    </row>
    <row r="4387" ht="15">
      <c r="D4387" s="216"/>
    </row>
    <row r="4388" ht="15">
      <c r="D4388" s="216"/>
    </row>
    <row r="4389" ht="15">
      <c r="D4389" s="216"/>
    </row>
    <row r="4390" ht="15">
      <c r="D4390" s="216"/>
    </row>
    <row r="4391" ht="15">
      <c r="D4391" s="216"/>
    </row>
    <row r="4392" ht="15">
      <c r="D4392" s="216"/>
    </row>
    <row r="4393" ht="15">
      <c r="D4393" s="216"/>
    </row>
    <row r="4394" ht="15">
      <c r="D4394" s="216"/>
    </row>
    <row r="4395" ht="15">
      <c r="D4395" s="216"/>
    </row>
    <row r="4396" ht="15">
      <c r="D4396" s="216"/>
    </row>
    <row r="4397" ht="15">
      <c r="D4397" s="216"/>
    </row>
    <row r="4398" ht="15">
      <c r="D4398" s="216"/>
    </row>
    <row r="4399" ht="15">
      <c r="D4399" s="216"/>
    </row>
    <row r="4400" ht="15">
      <c r="D4400" s="216"/>
    </row>
    <row r="4401" ht="15">
      <c r="D4401" s="216"/>
    </row>
    <row r="4402" ht="15">
      <c r="D4402" s="216"/>
    </row>
    <row r="4403" ht="15">
      <c r="D4403" s="216"/>
    </row>
    <row r="4404" ht="15">
      <c r="D4404" s="216"/>
    </row>
    <row r="4405" ht="15">
      <c r="D4405" s="216"/>
    </row>
    <row r="4406" ht="15">
      <c r="D4406" s="216"/>
    </row>
    <row r="4407" ht="15">
      <c r="D4407" s="216"/>
    </row>
    <row r="4408" ht="15">
      <c r="D4408" s="216"/>
    </row>
    <row r="4409" ht="15">
      <c r="D4409" s="216"/>
    </row>
    <row r="4410" ht="15">
      <c r="D4410" s="216"/>
    </row>
    <row r="4411" ht="15">
      <c r="D4411" s="216"/>
    </row>
    <row r="4412" ht="15">
      <c r="D4412" s="216"/>
    </row>
    <row r="4413" ht="15">
      <c r="D4413" s="216"/>
    </row>
    <row r="4414" ht="15">
      <c r="D4414" s="216"/>
    </row>
    <row r="4415" ht="15">
      <c r="D4415" s="216"/>
    </row>
    <row r="4416" ht="15">
      <c r="D4416" s="216"/>
    </row>
    <row r="4417" ht="15">
      <c r="D4417" s="216"/>
    </row>
    <row r="4418" ht="15">
      <c r="D4418" s="216"/>
    </row>
    <row r="4419" ht="15">
      <c r="D4419" s="216"/>
    </row>
    <row r="4420" ht="15">
      <c r="D4420" s="216"/>
    </row>
    <row r="4421" ht="15">
      <c r="D4421" s="216"/>
    </row>
    <row r="4422" ht="15">
      <c r="D4422" s="216"/>
    </row>
    <row r="4423" ht="15">
      <c r="D4423" s="216"/>
    </row>
    <row r="4424" ht="15">
      <c r="D4424" s="216"/>
    </row>
    <row r="4425" ht="15">
      <c r="D4425" s="216"/>
    </row>
    <row r="4426" ht="15">
      <c r="D4426" s="216"/>
    </row>
    <row r="4427" ht="15">
      <c r="D4427" s="216"/>
    </row>
    <row r="4428" ht="15">
      <c r="D4428" s="216"/>
    </row>
    <row r="4429" ht="15">
      <c r="D4429" s="216"/>
    </row>
    <row r="4430" ht="15">
      <c r="D4430" s="216"/>
    </row>
    <row r="4431" ht="15">
      <c r="D4431" s="216"/>
    </row>
    <row r="4432" ht="15">
      <c r="D4432" s="216"/>
    </row>
    <row r="4433" ht="15">
      <c r="D4433" s="216"/>
    </row>
    <row r="4434" ht="15">
      <c r="D4434" s="216"/>
    </row>
    <row r="4435" ht="15">
      <c r="D4435" s="216"/>
    </row>
    <row r="4436" ht="15">
      <c r="D4436" s="216"/>
    </row>
    <row r="4437" ht="15">
      <c r="D4437" s="216"/>
    </row>
    <row r="4438" ht="15">
      <c r="D4438" s="216"/>
    </row>
    <row r="4439" ht="15">
      <c r="D4439" s="216"/>
    </row>
    <row r="4440" ht="15">
      <c r="D4440" s="216"/>
    </row>
    <row r="4441" ht="15">
      <c r="D4441" s="216"/>
    </row>
    <row r="4442" ht="15">
      <c r="D4442" s="216"/>
    </row>
    <row r="4443" ht="15">
      <c r="D4443" s="216"/>
    </row>
    <row r="4444" ht="15">
      <c r="D4444" s="216"/>
    </row>
    <row r="4445" ht="15">
      <c r="D4445" s="216"/>
    </row>
    <row r="4446" ht="15">
      <c r="D4446" s="216"/>
    </row>
    <row r="4447" ht="15">
      <c r="D4447" s="216"/>
    </row>
    <row r="4448" ht="15">
      <c r="D4448" s="216"/>
    </row>
    <row r="4449" ht="15">
      <c r="D4449" s="216"/>
    </row>
    <row r="4450" ht="15">
      <c r="D4450" s="216"/>
    </row>
    <row r="4451" ht="15">
      <c r="D4451" s="216"/>
    </row>
    <row r="4452" ht="15">
      <c r="D4452" s="216"/>
    </row>
    <row r="4453" ht="15">
      <c r="D4453" s="216"/>
    </row>
    <row r="4454" ht="15">
      <c r="D4454" s="216"/>
    </row>
    <row r="4455" ht="15">
      <c r="D4455" s="216"/>
    </row>
    <row r="4456" ht="15">
      <c r="D4456" s="216"/>
    </row>
    <row r="4457" ht="15">
      <c r="D4457" s="216"/>
    </row>
    <row r="4458" ht="15">
      <c r="D4458" s="216"/>
    </row>
    <row r="4459" ht="15">
      <c r="D4459" s="216"/>
    </row>
    <row r="4460" ht="15">
      <c r="D4460" s="216"/>
    </row>
    <row r="4461" ht="15">
      <c r="D4461" s="216"/>
    </row>
    <row r="4462" ht="15">
      <c r="D4462" s="216"/>
    </row>
    <row r="4463" ht="15">
      <c r="D4463" s="216"/>
    </row>
    <row r="4464" ht="15">
      <c r="D4464" s="216"/>
    </row>
    <row r="4465" ht="15">
      <c r="D4465" s="216"/>
    </row>
    <row r="4466" ht="15">
      <c r="D4466" s="216"/>
    </row>
    <row r="4467" ht="15">
      <c r="D4467" s="216"/>
    </row>
    <row r="4468" ht="15">
      <c r="D4468" s="216"/>
    </row>
    <row r="4469" ht="15">
      <c r="D4469" s="216"/>
    </row>
    <row r="4470" ht="15">
      <c r="D4470" s="216"/>
    </row>
    <row r="4471" ht="15">
      <c r="D4471" s="216"/>
    </row>
    <row r="4472" ht="15">
      <c r="D4472" s="216"/>
    </row>
    <row r="4473" ht="15">
      <c r="D4473" s="216"/>
    </row>
    <row r="4474" ht="15">
      <c r="D4474" s="216"/>
    </row>
    <row r="4475" ht="15">
      <c r="D4475" s="216"/>
    </row>
    <row r="4476" ht="15">
      <c r="D4476" s="216"/>
    </row>
    <row r="4477" ht="15">
      <c r="D4477" s="216"/>
    </row>
    <row r="4478" ht="15">
      <c r="D4478" s="216"/>
    </row>
    <row r="4479" ht="15">
      <c r="D4479" s="216"/>
    </row>
    <row r="4480" ht="15">
      <c r="D4480" s="216"/>
    </row>
    <row r="4481" ht="15">
      <c r="D4481" s="216"/>
    </row>
    <row r="4482" ht="15">
      <c r="D4482" s="216"/>
    </row>
    <row r="4483" ht="15">
      <c r="D4483" s="216"/>
    </row>
    <row r="4484" ht="15">
      <c r="D4484" s="216"/>
    </row>
    <row r="4485" ht="15">
      <c r="D4485" s="216"/>
    </row>
    <row r="4486" ht="15">
      <c r="D4486" s="216"/>
    </row>
    <row r="4487" ht="15">
      <c r="D4487" s="216"/>
    </row>
    <row r="4488" ht="15">
      <c r="D4488" s="216"/>
    </row>
    <row r="4489" ht="15">
      <c r="D4489" s="216"/>
    </row>
    <row r="4490" ht="15">
      <c r="D4490" s="216"/>
    </row>
    <row r="4491" ht="15">
      <c r="D4491" s="216"/>
    </row>
    <row r="4492" ht="15">
      <c r="D4492" s="216"/>
    </row>
    <row r="4493" ht="15">
      <c r="D4493" s="216"/>
    </row>
    <row r="4494" ht="15">
      <c r="D4494" s="216"/>
    </row>
    <row r="4495" ht="15">
      <c r="D4495" s="216"/>
    </row>
    <row r="4496" ht="15">
      <c r="D4496" s="216"/>
    </row>
    <row r="4497" ht="15">
      <c r="D4497" s="216"/>
    </row>
    <row r="4498" ht="15">
      <c r="D4498" s="216"/>
    </row>
    <row r="4499" ht="15">
      <c r="D4499" s="216"/>
    </row>
    <row r="4500" ht="15">
      <c r="D4500" s="216"/>
    </row>
    <row r="4501" ht="15">
      <c r="D4501" s="216"/>
    </row>
    <row r="4502" ht="15">
      <c r="D4502" s="216"/>
    </row>
    <row r="4503" ht="15">
      <c r="D4503" s="216"/>
    </row>
    <row r="4504" ht="15">
      <c r="D4504" s="216"/>
    </row>
    <row r="4505" ht="15">
      <c r="D4505" s="216"/>
    </row>
    <row r="4506" ht="15">
      <c r="D4506" s="216"/>
    </row>
    <row r="4507" ht="15">
      <c r="D4507" s="216"/>
    </row>
    <row r="4508" ht="15">
      <c r="D4508" s="216"/>
    </row>
    <row r="4509" ht="15">
      <c r="D4509" s="216"/>
    </row>
    <row r="4510" ht="15">
      <c r="D4510" s="216"/>
    </row>
    <row r="4511" ht="15">
      <c r="D4511" s="216"/>
    </row>
    <row r="4512" ht="15">
      <c r="D4512" s="216"/>
    </row>
    <row r="4513" ht="15">
      <c r="D4513" s="216"/>
    </row>
    <row r="4514" ht="15">
      <c r="D4514" s="216"/>
    </row>
    <row r="4515" ht="15">
      <c r="D4515" s="216"/>
    </row>
    <row r="4516" ht="15">
      <c r="D4516" s="216"/>
    </row>
    <row r="4517" ht="15">
      <c r="D4517" s="216"/>
    </row>
    <row r="4518" ht="15">
      <c r="D4518" s="216"/>
    </row>
    <row r="4519" ht="15">
      <c r="D4519" s="216"/>
    </row>
    <row r="4520" ht="15">
      <c r="D4520" s="216"/>
    </row>
    <row r="4521" ht="15">
      <c r="D4521" s="216"/>
    </row>
    <row r="4522" ht="15">
      <c r="D4522" s="216"/>
    </row>
    <row r="4523" ht="15">
      <c r="D4523" s="216"/>
    </row>
    <row r="4524" ht="15">
      <c r="D4524" s="216"/>
    </row>
    <row r="4525" ht="15">
      <c r="D4525" s="216"/>
    </row>
    <row r="4526" ht="15">
      <c r="D4526" s="216"/>
    </row>
    <row r="4527" ht="15">
      <c r="D4527" s="216"/>
    </row>
    <row r="4528" ht="15">
      <c r="D4528" s="216"/>
    </row>
    <row r="4529" ht="15">
      <c r="D4529" s="216"/>
    </row>
    <row r="4530" ht="15">
      <c r="D4530" s="216"/>
    </row>
    <row r="4531" ht="15">
      <c r="D4531" s="216"/>
    </row>
    <row r="4532" ht="15">
      <c r="D4532" s="216"/>
    </row>
    <row r="4533" ht="15">
      <c r="D4533" s="216"/>
    </row>
    <row r="4534" ht="15">
      <c r="D4534" s="216"/>
    </row>
    <row r="4535" ht="15">
      <c r="D4535" s="216"/>
    </row>
    <row r="4536" ht="15">
      <c r="D4536" s="216"/>
    </row>
    <row r="4537" ht="15">
      <c r="D4537" s="216"/>
    </row>
    <row r="4538" ht="15">
      <c r="D4538" s="216"/>
    </row>
    <row r="4539" ht="15">
      <c r="D4539" s="216"/>
    </row>
    <row r="4540" ht="15">
      <c r="D4540" s="216"/>
    </row>
    <row r="4541" ht="15">
      <c r="D4541" s="216"/>
    </row>
    <row r="4542" ht="15">
      <c r="D4542" s="216"/>
    </row>
    <row r="4543" ht="15">
      <c r="D4543" s="216"/>
    </row>
    <row r="4544" ht="15">
      <c r="D4544" s="216"/>
    </row>
    <row r="4545" ht="15">
      <c r="D4545" s="216"/>
    </row>
    <row r="4546" ht="15">
      <c r="D4546" s="216"/>
    </row>
    <row r="4547" ht="15">
      <c r="D4547" s="216"/>
    </row>
    <row r="4548" ht="15">
      <c r="D4548" s="216"/>
    </row>
    <row r="4549" ht="15">
      <c r="D4549" s="216"/>
    </row>
    <row r="4550" ht="15">
      <c r="D4550" s="216"/>
    </row>
    <row r="4551" ht="15">
      <c r="D4551" s="216"/>
    </row>
    <row r="4552" ht="15">
      <c r="D4552" s="216"/>
    </row>
    <row r="4553" ht="15">
      <c r="D4553" s="216"/>
    </row>
    <row r="4554" ht="15">
      <c r="D4554" s="216"/>
    </row>
    <row r="4555" ht="15">
      <c r="D4555" s="216"/>
    </row>
    <row r="4556" ht="15">
      <c r="D4556" s="216"/>
    </row>
    <row r="4557" ht="15">
      <c r="D4557" s="216"/>
    </row>
    <row r="4558" ht="15">
      <c r="D4558" s="216"/>
    </row>
    <row r="4559" ht="15">
      <c r="D4559" s="216"/>
    </row>
    <row r="4560" ht="15">
      <c r="D4560" s="216"/>
    </row>
    <row r="4561" ht="15">
      <c r="D4561" s="216"/>
    </row>
    <row r="4562" ht="15">
      <c r="D4562" s="216"/>
    </row>
    <row r="4563" ht="15">
      <c r="D4563" s="216"/>
    </row>
    <row r="4564" ht="15">
      <c r="D4564" s="216"/>
    </row>
    <row r="4565" ht="15">
      <c r="D4565" s="216"/>
    </row>
    <row r="4566" ht="15">
      <c r="D4566" s="216"/>
    </row>
    <row r="4567" ht="15">
      <c r="D4567" s="216"/>
    </row>
    <row r="4568" ht="15">
      <c r="D4568" s="216"/>
    </row>
    <row r="4569" ht="15">
      <c r="D4569" s="216"/>
    </row>
    <row r="4570" ht="15">
      <c r="D4570" s="216"/>
    </row>
    <row r="4571" ht="15">
      <c r="D4571" s="216"/>
    </row>
    <row r="4572" ht="15">
      <c r="D4572" s="216"/>
    </row>
    <row r="4573" ht="15">
      <c r="D4573" s="216"/>
    </row>
    <row r="4574" ht="15">
      <c r="D4574" s="216"/>
    </row>
    <row r="4575" ht="15">
      <c r="D4575" s="216"/>
    </row>
    <row r="4576" ht="15">
      <c r="D4576" s="216"/>
    </row>
    <row r="4577" ht="15">
      <c r="D4577" s="216"/>
    </row>
    <row r="4578" ht="15">
      <c r="D4578" s="216"/>
    </row>
    <row r="4579" ht="15">
      <c r="D4579" s="216"/>
    </row>
    <row r="4580" ht="15">
      <c r="D4580" s="216"/>
    </row>
    <row r="4581" ht="15">
      <c r="D4581" s="216"/>
    </row>
    <row r="4582" ht="15">
      <c r="D4582" s="216"/>
    </row>
    <row r="4583" ht="15">
      <c r="D4583" s="216"/>
    </row>
    <row r="4584" ht="15">
      <c r="D4584" s="216"/>
    </row>
    <row r="4585" ht="15">
      <c r="D4585" s="216"/>
    </row>
    <row r="4586" ht="15">
      <c r="D4586" s="216"/>
    </row>
    <row r="4587" ht="15">
      <c r="D4587" s="216"/>
    </row>
    <row r="4588" ht="15">
      <c r="D4588" s="216"/>
    </row>
    <row r="4589" ht="15">
      <c r="D4589" s="216"/>
    </row>
    <row r="4590" ht="15">
      <c r="D4590" s="216"/>
    </row>
    <row r="4591" ht="15">
      <c r="D4591" s="216"/>
    </row>
    <row r="4592" ht="15">
      <c r="D4592" s="216"/>
    </row>
    <row r="4593" ht="15">
      <c r="D4593" s="216"/>
    </row>
    <row r="4594" ht="15">
      <c r="D4594" s="216"/>
    </row>
    <row r="4595" ht="15">
      <c r="D4595" s="216"/>
    </row>
    <row r="4596" ht="15">
      <c r="D4596" s="216"/>
    </row>
    <row r="4597" ht="15">
      <c r="D4597" s="216"/>
    </row>
    <row r="4598" ht="15">
      <c r="D4598" s="216"/>
    </row>
    <row r="4599" ht="15">
      <c r="D4599" s="216"/>
    </row>
    <row r="4600" ht="15">
      <c r="D4600" s="216"/>
    </row>
    <row r="4601" ht="15">
      <c r="D4601" s="216"/>
    </row>
    <row r="4602" ht="15">
      <c r="D4602" s="216"/>
    </row>
    <row r="4603" ht="15">
      <c r="D4603" s="216"/>
    </row>
    <row r="4604" ht="15">
      <c r="D4604" s="216"/>
    </row>
    <row r="4605" ht="15">
      <c r="D4605" s="216"/>
    </row>
    <row r="4606" ht="15">
      <c r="D4606" s="216"/>
    </row>
    <row r="4607" ht="15">
      <c r="D4607" s="216"/>
    </row>
    <row r="4608" ht="15">
      <c r="D4608" s="216"/>
    </row>
    <row r="4609" ht="15">
      <c r="D4609" s="216"/>
    </row>
    <row r="4610" ht="15">
      <c r="D4610" s="216"/>
    </row>
    <row r="4611" ht="15">
      <c r="D4611" s="216"/>
    </row>
    <row r="4612" ht="15">
      <c r="D4612" s="216"/>
    </row>
    <row r="4613" ht="15">
      <c r="D4613" s="216"/>
    </row>
    <row r="4614" ht="15">
      <c r="D4614" s="216"/>
    </row>
    <row r="4615" ht="15">
      <c r="D4615" s="216"/>
    </row>
    <row r="4616" ht="15">
      <c r="D4616" s="216"/>
    </row>
    <row r="4617" ht="15">
      <c r="D4617" s="216"/>
    </row>
    <row r="4618" ht="15">
      <c r="D4618" s="216"/>
    </row>
    <row r="4619" ht="15">
      <c r="D4619" s="216"/>
    </row>
    <row r="4620" ht="15">
      <c r="D4620" s="216"/>
    </row>
    <row r="4621" ht="15">
      <c r="D4621" s="216"/>
    </row>
    <row r="4622" ht="15">
      <c r="D4622" s="216"/>
    </row>
    <row r="4623" ht="15">
      <c r="D4623" s="216"/>
    </row>
    <row r="4624" ht="15">
      <c r="D4624" s="216"/>
    </row>
    <row r="4625" ht="15">
      <c r="D4625" s="216"/>
    </row>
    <row r="4626" ht="15">
      <c r="D4626" s="216"/>
    </row>
    <row r="4627" ht="15">
      <c r="D4627" s="216"/>
    </row>
    <row r="4628" ht="15">
      <c r="D4628" s="216"/>
    </row>
    <row r="4629" ht="15">
      <c r="D4629" s="216"/>
    </row>
    <row r="4630" ht="15">
      <c r="D4630" s="216"/>
    </row>
    <row r="4631" ht="15">
      <c r="D4631" s="216"/>
    </row>
    <row r="4632" ht="15">
      <c r="D4632" s="216"/>
    </row>
    <row r="4633" ht="15">
      <c r="D4633" s="216"/>
    </row>
    <row r="4634" ht="15">
      <c r="D4634" s="216"/>
    </row>
    <row r="4635" ht="15">
      <c r="D4635" s="216"/>
    </row>
    <row r="4636" ht="15">
      <c r="D4636" s="216"/>
    </row>
    <row r="4637" ht="15">
      <c r="D4637" s="216"/>
    </row>
    <row r="4638" ht="15">
      <c r="D4638" s="216"/>
    </row>
    <row r="4639" ht="15">
      <c r="D4639" s="216"/>
    </row>
    <row r="4640" ht="15">
      <c r="D4640" s="216"/>
    </row>
    <row r="4641" ht="15">
      <c r="D4641" s="216"/>
    </row>
    <row r="4642" ht="15">
      <c r="D4642" s="216"/>
    </row>
    <row r="4643" ht="15">
      <c r="D4643" s="216"/>
    </row>
    <row r="4644" ht="15">
      <c r="D4644" s="216"/>
    </row>
    <row r="4645" ht="15">
      <c r="D4645" s="216"/>
    </row>
    <row r="4646" ht="15">
      <c r="D4646" s="216"/>
    </row>
    <row r="4647" ht="15">
      <c r="D4647" s="216"/>
    </row>
    <row r="4648" ht="15">
      <c r="D4648" s="216"/>
    </row>
    <row r="4649" ht="15">
      <c r="D4649" s="216"/>
    </row>
    <row r="4650" ht="15">
      <c r="D4650" s="216"/>
    </row>
    <row r="4651" ht="15">
      <c r="D4651" s="216"/>
    </row>
    <row r="4652" ht="15">
      <c r="D4652" s="216"/>
    </row>
    <row r="4653" ht="15">
      <c r="D4653" s="216"/>
    </row>
    <row r="4654" ht="15">
      <c r="D4654" s="216"/>
    </row>
    <row r="4655" ht="15">
      <c r="D4655" s="216"/>
    </row>
    <row r="4656" ht="15">
      <c r="D4656" s="216"/>
    </row>
    <row r="4657" ht="15">
      <c r="D4657" s="216"/>
    </row>
    <row r="4658" ht="15">
      <c r="D4658" s="216"/>
    </row>
    <row r="4659" ht="15">
      <c r="D4659" s="216"/>
    </row>
    <row r="4660" ht="15">
      <c r="D4660" s="216"/>
    </row>
    <row r="4661" ht="15">
      <c r="D4661" s="216"/>
    </row>
    <row r="4662" ht="15">
      <c r="D4662" s="216"/>
    </row>
    <row r="4663" ht="15">
      <c r="D4663" s="216"/>
    </row>
    <row r="4664" ht="15">
      <c r="D4664" s="216"/>
    </row>
    <row r="4665" ht="15">
      <c r="D4665" s="216"/>
    </row>
    <row r="4666" ht="15">
      <c r="D4666" s="216"/>
    </row>
    <row r="4667" ht="15">
      <c r="D4667" s="216"/>
    </row>
    <row r="4668" ht="15">
      <c r="D4668" s="216"/>
    </row>
    <row r="4669" ht="15">
      <c r="D4669" s="216"/>
    </row>
    <row r="4670" ht="15">
      <c r="D4670" s="216"/>
    </row>
    <row r="4671" ht="15">
      <c r="D4671" s="216"/>
    </row>
    <row r="4672" ht="15">
      <c r="D4672" s="216"/>
    </row>
    <row r="4673" ht="15">
      <c r="D4673" s="216"/>
    </row>
    <row r="4674" ht="15">
      <c r="D4674" s="216"/>
    </row>
    <row r="4675" ht="15">
      <c r="D4675" s="216"/>
    </row>
    <row r="4676" ht="15">
      <c r="D4676" s="216"/>
    </row>
    <row r="4677" ht="15">
      <c r="D4677" s="216"/>
    </row>
    <row r="4678" ht="15">
      <c r="D4678" s="216"/>
    </row>
    <row r="4679" ht="15">
      <c r="D4679" s="216"/>
    </row>
    <row r="4680" ht="15">
      <c r="D4680" s="216"/>
    </row>
    <row r="4681" ht="15">
      <c r="D4681" s="216"/>
    </row>
    <row r="4682" ht="15">
      <c r="D4682" s="216"/>
    </row>
    <row r="4683" ht="15">
      <c r="D4683" s="216"/>
    </row>
    <row r="4684" ht="15">
      <c r="D4684" s="216"/>
    </row>
    <row r="4685" ht="15">
      <c r="D4685" s="216"/>
    </row>
    <row r="4686" ht="15">
      <c r="D4686" s="216"/>
    </row>
    <row r="4687" ht="15">
      <c r="D4687" s="216"/>
    </row>
    <row r="4688" ht="15">
      <c r="D4688" s="216"/>
    </row>
    <row r="4689" ht="15">
      <c r="D4689" s="216"/>
    </row>
    <row r="4690" ht="15">
      <c r="D4690" s="216"/>
    </row>
    <row r="4691" ht="15">
      <c r="D4691" s="216"/>
    </row>
    <row r="4692" ht="15">
      <c r="D4692" s="216"/>
    </row>
    <row r="4693" ht="15">
      <c r="D4693" s="216"/>
    </row>
    <row r="4694" ht="15">
      <c r="D4694" s="216"/>
    </row>
    <row r="4695" ht="15">
      <c r="D4695" s="216"/>
    </row>
    <row r="4696" ht="15">
      <c r="D4696" s="216"/>
    </row>
    <row r="4697" ht="15">
      <c r="D4697" s="216"/>
    </row>
    <row r="4698" ht="15">
      <c r="D4698" s="216"/>
    </row>
    <row r="4699" ht="15">
      <c r="D4699" s="216"/>
    </row>
    <row r="4700" ht="15">
      <c r="D4700" s="216"/>
    </row>
    <row r="4701" ht="15">
      <c r="D4701" s="216"/>
    </row>
    <row r="4702" ht="15">
      <c r="D4702" s="216"/>
    </row>
    <row r="4703" ht="15">
      <c r="D4703" s="216"/>
    </row>
    <row r="4704" ht="15">
      <c r="D4704" s="216"/>
    </row>
    <row r="4705" ht="15">
      <c r="D4705" s="216"/>
    </row>
    <row r="4706" ht="15">
      <c r="D4706" s="216"/>
    </row>
    <row r="4707" ht="15">
      <c r="D4707" s="216"/>
    </row>
    <row r="4708" ht="15">
      <c r="D4708" s="216"/>
    </row>
    <row r="4709" ht="15">
      <c r="D4709" s="216"/>
    </row>
    <row r="4710" ht="15">
      <c r="D4710" s="216"/>
    </row>
    <row r="4711" ht="15">
      <c r="D4711" s="216"/>
    </row>
    <row r="4712" ht="15">
      <c r="D4712" s="216"/>
    </row>
    <row r="4713" ht="15">
      <c r="D4713" s="216"/>
    </row>
    <row r="4714" ht="15">
      <c r="D4714" s="216"/>
    </row>
    <row r="4715" ht="15">
      <c r="D4715" s="216"/>
    </row>
    <row r="4716" ht="15">
      <c r="D4716" s="216"/>
    </row>
    <row r="4717" ht="15">
      <c r="D4717" s="216"/>
    </row>
    <row r="4718" ht="15">
      <c r="D4718" s="216"/>
    </row>
    <row r="4719" ht="15">
      <c r="D4719" s="216"/>
    </row>
    <row r="4720" ht="15">
      <c r="D4720" s="216"/>
    </row>
    <row r="4721" ht="15">
      <c r="D4721" s="216"/>
    </row>
    <row r="4722" ht="15">
      <c r="D4722" s="216"/>
    </row>
    <row r="4723" ht="15">
      <c r="D4723" s="216"/>
    </row>
    <row r="4724" ht="15">
      <c r="D4724" s="216"/>
    </row>
    <row r="4725" ht="15">
      <c r="D4725" s="216"/>
    </row>
    <row r="4726" ht="15">
      <c r="D4726" s="216"/>
    </row>
    <row r="4727" ht="15">
      <c r="D4727" s="216"/>
    </row>
    <row r="4728" ht="15">
      <c r="D4728" s="216"/>
    </row>
    <row r="4729" ht="15">
      <c r="D4729" s="216"/>
    </row>
    <row r="4730" ht="15">
      <c r="D4730" s="216"/>
    </row>
    <row r="4731" ht="15">
      <c r="D4731" s="216"/>
    </row>
    <row r="4732" ht="15">
      <c r="D4732" s="216"/>
    </row>
    <row r="4733" ht="15">
      <c r="D4733" s="216"/>
    </row>
    <row r="4734" ht="15">
      <c r="D4734" s="216"/>
    </row>
    <row r="4735" ht="15">
      <c r="D4735" s="216"/>
    </row>
    <row r="4736" ht="15">
      <c r="D4736" s="216"/>
    </row>
    <row r="4737" ht="15">
      <c r="D4737" s="216"/>
    </row>
    <row r="4738" ht="15">
      <c r="D4738" s="216"/>
    </row>
    <row r="4739" ht="15">
      <c r="D4739" s="216"/>
    </row>
    <row r="4740" ht="15">
      <c r="D4740" s="216"/>
    </row>
    <row r="4741" ht="15">
      <c r="D4741" s="216"/>
    </row>
    <row r="4742" ht="15">
      <c r="D4742" s="216"/>
    </row>
    <row r="4743" ht="15">
      <c r="D4743" s="216"/>
    </row>
    <row r="4744" ht="15">
      <c r="D4744" s="216"/>
    </row>
    <row r="4745" ht="15">
      <c r="D4745" s="216"/>
    </row>
    <row r="4746" ht="15">
      <c r="D4746" s="216"/>
    </row>
    <row r="4747" ht="15">
      <c r="D4747" s="216"/>
    </row>
    <row r="4748" ht="15">
      <c r="D4748" s="216"/>
    </row>
    <row r="4749" ht="15">
      <c r="D4749" s="216"/>
    </row>
    <row r="4750" ht="15">
      <c r="D4750" s="216"/>
    </row>
    <row r="4751" ht="15">
      <c r="D4751" s="216"/>
    </row>
    <row r="4752" ht="15">
      <c r="D4752" s="216"/>
    </row>
    <row r="4753" ht="15">
      <c r="D4753" s="216"/>
    </row>
    <row r="4754" ht="15">
      <c r="D4754" s="216"/>
    </row>
    <row r="4755" ht="15">
      <c r="D4755" s="216"/>
    </row>
    <row r="4756" ht="15">
      <c r="D4756" s="216"/>
    </row>
    <row r="4757" ht="15">
      <c r="D4757" s="216"/>
    </row>
    <row r="4758" ht="15">
      <c r="D4758" s="216"/>
    </row>
    <row r="4759" ht="15">
      <c r="D4759" s="216"/>
    </row>
    <row r="4760" ht="15">
      <c r="D4760" s="216"/>
    </row>
    <row r="4761" ht="15">
      <c r="D4761" s="216"/>
    </row>
    <row r="4762" ht="15">
      <c r="D4762" s="216"/>
    </row>
    <row r="4763" ht="15">
      <c r="D4763" s="216"/>
    </row>
    <row r="4764" ht="15">
      <c r="D4764" s="216"/>
    </row>
    <row r="4765" ht="15">
      <c r="D4765" s="216"/>
    </row>
    <row r="4766" ht="15">
      <c r="D4766" s="216"/>
    </row>
    <row r="4767" ht="15">
      <c r="D4767" s="216"/>
    </row>
    <row r="4768" ht="15">
      <c r="D4768" s="216"/>
    </row>
    <row r="4769" ht="15">
      <c r="D4769" s="216"/>
    </row>
    <row r="4770" ht="15">
      <c r="D4770" s="216"/>
    </row>
    <row r="4771" ht="15">
      <c r="D4771" s="216"/>
    </row>
    <row r="4772" ht="15">
      <c r="D4772" s="216"/>
    </row>
    <row r="4773" ht="15">
      <c r="D4773" s="216"/>
    </row>
    <row r="4774" ht="15">
      <c r="D4774" s="216"/>
    </row>
    <row r="4775" ht="15">
      <c r="D4775" s="216"/>
    </row>
    <row r="4776" ht="15">
      <c r="D4776" s="216"/>
    </row>
    <row r="4777" ht="15">
      <c r="D4777" s="216"/>
    </row>
    <row r="4778" ht="15">
      <c r="D4778" s="216"/>
    </row>
    <row r="4779" ht="15">
      <c r="D4779" s="216"/>
    </row>
    <row r="4780" ht="15">
      <c r="D4780" s="216"/>
    </row>
    <row r="4781" ht="15">
      <c r="D4781" s="216"/>
    </row>
    <row r="4782" ht="15">
      <c r="D4782" s="216"/>
    </row>
    <row r="4783" ht="15">
      <c r="D4783" s="216"/>
    </row>
    <row r="4784" ht="15">
      <c r="D4784" s="216"/>
    </row>
    <row r="4785" ht="15">
      <c r="D4785" s="216"/>
    </row>
    <row r="4786" ht="15">
      <c r="D4786" s="216"/>
    </row>
    <row r="4787" ht="15">
      <c r="D4787" s="216"/>
    </row>
    <row r="4788" ht="15">
      <c r="D4788" s="216"/>
    </row>
    <row r="4789" ht="15">
      <c r="D4789" s="216"/>
    </row>
    <row r="4790" ht="15">
      <c r="D4790" s="216"/>
    </row>
    <row r="4791" ht="15">
      <c r="D4791" s="216"/>
    </row>
    <row r="4792" ht="15">
      <c r="D4792" s="216"/>
    </row>
    <row r="4793" ht="15">
      <c r="D4793" s="216"/>
    </row>
    <row r="4794" ht="15">
      <c r="D4794" s="216"/>
    </row>
    <row r="4795" ht="15">
      <c r="D4795" s="216"/>
    </row>
    <row r="4796" ht="15">
      <c r="D4796" s="216"/>
    </row>
    <row r="4797" ht="15">
      <c r="D4797" s="216"/>
    </row>
    <row r="4798" ht="15">
      <c r="D4798" s="216"/>
    </row>
    <row r="4799" ht="15">
      <c r="D4799" s="216"/>
    </row>
    <row r="4800" ht="15">
      <c r="D4800" s="216"/>
    </row>
    <row r="4801" ht="15">
      <c r="D4801" s="216"/>
    </row>
    <row r="4802" ht="15">
      <c r="D4802" s="216"/>
    </row>
    <row r="4803" ht="15">
      <c r="D4803" s="216"/>
    </row>
    <row r="4804" ht="15">
      <c r="D4804" s="216"/>
    </row>
    <row r="4805" ht="15">
      <c r="D4805" s="216"/>
    </row>
    <row r="4806" ht="15">
      <c r="D4806" s="216"/>
    </row>
    <row r="4807" ht="15">
      <c r="D4807" s="216"/>
    </row>
    <row r="4808" ht="15">
      <c r="D4808" s="216"/>
    </row>
    <row r="4809" ht="15">
      <c r="D4809" s="216"/>
    </row>
    <row r="4810" ht="15">
      <c r="D4810" s="216"/>
    </row>
    <row r="4811" ht="15">
      <c r="D4811" s="216"/>
    </row>
    <row r="4812" ht="15">
      <c r="D4812" s="216"/>
    </row>
    <row r="4813" ht="15">
      <c r="D4813" s="216"/>
    </row>
    <row r="4814" ht="15">
      <c r="D4814" s="216"/>
    </row>
    <row r="4815" ht="15">
      <c r="D4815" s="216"/>
    </row>
    <row r="4816" ht="15">
      <c r="D4816" s="216"/>
    </row>
    <row r="4817" ht="15">
      <c r="D4817" s="216"/>
    </row>
    <row r="4818" ht="15">
      <c r="D4818" s="216"/>
    </row>
    <row r="4819" ht="15">
      <c r="D4819" s="216"/>
    </row>
    <row r="4820" ht="15">
      <c r="D4820" s="216"/>
    </row>
    <row r="4821" ht="15">
      <c r="D4821" s="216"/>
    </row>
    <row r="4822" ht="15">
      <c r="D4822" s="216"/>
    </row>
    <row r="4823" ht="15">
      <c r="D4823" s="216"/>
    </row>
    <row r="4824" ht="15">
      <c r="D4824" s="216"/>
    </row>
    <row r="4825" ht="15">
      <c r="D4825" s="216"/>
    </row>
    <row r="4826" ht="15">
      <c r="D4826" s="216"/>
    </row>
    <row r="4827" ht="15">
      <c r="D4827" s="216"/>
    </row>
    <row r="4828" ht="15">
      <c r="D4828" s="216"/>
    </row>
    <row r="4829" ht="15">
      <c r="D4829" s="216"/>
    </row>
    <row r="4830" ht="15">
      <c r="D4830" s="216"/>
    </row>
    <row r="4831" ht="15">
      <c r="D4831" s="216"/>
    </row>
    <row r="4832" ht="15">
      <c r="D4832" s="216"/>
    </row>
    <row r="4833" ht="15">
      <c r="D4833" s="216"/>
    </row>
    <row r="4834" ht="15">
      <c r="D4834" s="216"/>
    </row>
    <row r="4835" ht="15">
      <c r="D4835" s="216"/>
    </row>
    <row r="4836" ht="15">
      <c r="D4836" s="216"/>
    </row>
    <row r="4837" ht="15">
      <c r="D4837" s="216"/>
    </row>
    <row r="4838" ht="15">
      <c r="D4838" s="216"/>
    </row>
    <row r="4839" ht="15">
      <c r="D4839" s="216"/>
    </row>
    <row r="4840" ht="15">
      <c r="D4840" s="216"/>
    </row>
    <row r="4841" ht="15">
      <c r="D4841" s="216"/>
    </row>
    <row r="4842" ht="15">
      <c r="D4842" s="216"/>
    </row>
    <row r="4843" ht="15">
      <c r="D4843" s="216"/>
    </row>
    <row r="4844" ht="15">
      <c r="D4844" s="216"/>
    </row>
    <row r="4845" ht="15">
      <c r="D4845" s="216"/>
    </row>
    <row r="4846" ht="15">
      <c r="D4846" s="216"/>
    </row>
    <row r="4847" ht="15">
      <c r="D4847" s="216"/>
    </row>
    <row r="4848" ht="15">
      <c r="D4848" s="216"/>
    </row>
    <row r="4849" ht="15">
      <c r="D4849" s="216"/>
    </row>
    <row r="4850" ht="15">
      <c r="D4850" s="216"/>
    </row>
    <row r="4851" ht="15">
      <c r="D4851" s="216"/>
    </row>
    <row r="4852" ht="15">
      <c r="D4852" s="216"/>
    </row>
    <row r="4853" ht="15">
      <c r="D4853" s="216"/>
    </row>
    <row r="4854" ht="15">
      <c r="D4854" s="216"/>
    </row>
    <row r="4855" ht="15">
      <c r="D4855" s="216"/>
    </row>
    <row r="4856" ht="15">
      <c r="D4856" s="216"/>
    </row>
    <row r="4857" ht="15">
      <c r="D4857" s="216"/>
    </row>
    <row r="4858" ht="15">
      <c r="D4858" s="216"/>
    </row>
    <row r="4859" ht="15">
      <c r="D4859" s="216"/>
    </row>
    <row r="4860" ht="15">
      <c r="D4860" s="216"/>
    </row>
    <row r="4861" ht="15">
      <c r="D4861" s="216"/>
    </row>
    <row r="4862" ht="15">
      <c r="D4862" s="216"/>
    </row>
    <row r="4863" ht="15">
      <c r="D4863" s="216"/>
    </row>
    <row r="4864" ht="15">
      <c r="D4864" s="216"/>
    </row>
    <row r="4865" ht="15">
      <c r="D4865" s="216"/>
    </row>
    <row r="4866" ht="15">
      <c r="D4866" s="216"/>
    </row>
    <row r="4867" ht="15">
      <c r="D4867" s="216"/>
    </row>
    <row r="4868" ht="15">
      <c r="D4868" s="216"/>
    </row>
    <row r="4869" ht="15">
      <c r="D4869" s="216"/>
    </row>
    <row r="4870" ht="15">
      <c r="D4870" s="216"/>
    </row>
    <row r="4871" ht="15">
      <c r="D4871" s="216"/>
    </row>
    <row r="4872" ht="15">
      <c r="D4872" s="216"/>
    </row>
    <row r="4873" ht="15">
      <c r="D4873" s="216"/>
    </row>
    <row r="4874" ht="15">
      <c r="D4874" s="216"/>
    </row>
    <row r="4875" ht="15">
      <c r="D4875" s="216"/>
    </row>
    <row r="4876" ht="15">
      <c r="D4876" s="216"/>
    </row>
    <row r="4877" ht="15">
      <c r="D4877" s="216"/>
    </row>
    <row r="4878" ht="15">
      <c r="D4878" s="216"/>
    </row>
    <row r="4879" ht="15">
      <c r="D4879" s="216"/>
    </row>
    <row r="4880" ht="15">
      <c r="D4880" s="216"/>
    </row>
    <row r="4881" ht="15">
      <c r="D4881" s="216"/>
    </row>
    <row r="4882" ht="15">
      <c r="D4882" s="216"/>
    </row>
    <row r="4883" ht="15">
      <c r="D4883" s="216"/>
    </row>
    <row r="4884" ht="15">
      <c r="D4884" s="216"/>
    </row>
    <row r="4885" ht="15">
      <c r="D4885" s="216"/>
    </row>
    <row r="4886" ht="15">
      <c r="D4886" s="216"/>
    </row>
    <row r="4887" ht="15">
      <c r="D4887" s="216"/>
    </row>
    <row r="4888" ht="15">
      <c r="D4888" s="216"/>
    </row>
    <row r="4889" ht="15">
      <c r="D4889" s="216"/>
    </row>
    <row r="4890" ht="15">
      <c r="D4890" s="216"/>
    </row>
    <row r="4891" ht="15">
      <c r="D4891" s="216"/>
    </row>
    <row r="4892" ht="15">
      <c r="D4892" s="216"/>
    </row>
    <row r="4893" ht="15">
      <c r="D4893" s="216"/>
    </row>
    <row r="4894" ht="15">
      <c r="D4894" s="216"/>
    </row>
    <row r="4895" ht="15">
      <c r="D4895" s="216"/>
    </row>
    <row r="4896" ht="15">
      <c r="D4896" s="216"/>
    </row>
    <row r="4897" ht="15">
      <c r="D4897" s="216"/>
    </row>
    <row r="4898" ht="15">
      <c r="D4898" s="216"/>
    </row>
    <row r="4899" ht="15">
      <c r="D4899" s="216"/>
    </row>
    <row r="4900" ht="15">
      <c r="D4900" s="216"/>
    </row>
    <row r="4901" ht="15">
      <c r="D4901" s="216"/>
    </row>
    <row r="4902" ht="15">
      <c r="D4902" s="216"/>
    </row>
    <row r="4903" ht="15">
      <c r="D4903" s="216"/>
    </row>
    <row r="4904" ht="15">
      <c r="D4904" s="216"/>
    </row>
    <row r="4905" ht="15">
      <c r="D4905" s="216"/>
    </row>
    <row r="4906" ht="15">
      <c r="D4906" s="216"/>
    </row>
    <row r="4907" ht="15">
      <c r="D4907" s="216"/>
    </row>
    <row r="4908" ht="15">
      <c r="D4908" s="216"/>
    </row>
    <row r="4909" ht="15">
      <c r="D4909" s="216"/>
    </row>
    <row r="4910" ht="15">
      <c r="D4910" s="216"/>
    </row>
    <row r="4911" ht="15">
      <c r="D4911" s="216"/>
    </row>
    <row r="4912" ht="15">
      <c r="D4912" s="216"/>
    </row>
    <row r="4913" ht="15">
      <c r="D4913" s="216"/>
    </row>
    <row r="4914" ht="15">
      <c r="D4914" s="216"/>
    </row>
    <row r="4915" ht="15">
      <c r="D4915" s="216"/>
    </row>
    <row r="4916" ht="15">
      <c r="D4916" s="216"/>
    </row>
    <row r="4917" ht="15">
      <c r="D4917" s="216"/>
    </row>
    <row r="4918" ht="15">
      <c r="D4918" s="216"/>
    </row>
    <row r="4919" ht="15">
      <c r="D4919" s="216"/>
    </row>
    <row r="4920" ht="15">
      <c r="D4920" s="216"/>
    </row>
    <row r="4921" ht="15">
      <c r="D4921" s="216"/>
    </row>
    <row r="4922" ht="15">
      <c r="D4922" s="216"/>
    </row>
    <row r="4923" ht="15">
      <c r="D4923" s="216"/>
    </row>
    <row r="4924" ht="15">
      <c r="D4924" s="216"/>
    </row>
    <row r="4925" ht="15">
      <c r="D4925" s="216"/>
    </row>
    <row r="4926" ht="15">
      <c r="D4926" s="216"/>
    </row>
    <row r="4927" ht="15">
      <c r="D4927" s="216"/>
    </row>
    <row r="4928" ht="15">
      <c r="D4928" s="216"/>
    </row>
    <row r="4929" ht="15">
      <c r="D4929" s="216"/>
    </row>
    <row r="4930" ht="15">
      <c r="D4930" s="216"/>
    </row>
    <row r="4931" ht="15">
      <c r="D4931" s="216"/>
    </row>
    <row r="4932" ht="15">
      <c r="D4932" s="216"/>
    </row>
    <row r="4933" ht="15">
      <c r="D4933" s="216"/>
    </row>
    <row r="4934" ht="15">
      <c r="D4934" s="216"/>
    </row>
    <row r="4935" ht="15">
      <c r="D4935" s="216"/>
    </row>
    <row r="4936" ht="15">
      <c r="D4936" s="216"/>
    </row>
    <row r="4937" ht="15">
      <c r="D4937" s="216"/>
    </row>
    <row r="4938" ht="15">
      <c r="D4938" s="216"/>
    </row>
    <row r="4939" ht="15">
      <c r="D4939" s="216"/>
    </row>
    <row r="4940" ht="15">
      <c r="D4940" s="216"/>
    </row>
    <row r="4941" ht="15">
      <c r="D4941" s="216"/>
    </row>
    <row r="4942" ht="15">
      <c r="D4942" s="216"/>
    </row>
    <row r="4943" ht="15">
      <c r="D4943" s="216"/>
    </row>
    <row r="4944" ht="15">
      <c r="D4944" s="216"/>
    </row>
    <row r="4945" ht="15">
      <c r="D4945" s="216"/>
    </row>
    <row r="4946" ht="15">
      <c r="D4946" s="216"/>
    </row>
    <row r="4947" ht="15">
      <c r="D4947" s="216"/>
    </row>
    <row r="4948" ht="15">
      <c r="D4948" s="216"/>
    </row>
    <row r="4949" ht="15">
      <c r="D4949" s="216"/>
    </row>
    <row r="4950" ht="15">
      <c r="D4950" s="216"/>
    </row>
    <row r="4951" ht="15">
      <c r="D4951" s="216"/>
    </row>
    <row r="4952" ht="15">
      <c r="D4952" s="216"/>
    </row>
    <row r="4953" ht="15">
      <c r="D4953" s="216"/>
    </row>
    <row r="4954" ht="15">
      <c r="D4954" s="216"/>
    </row>
    <row r="4955" ht="15">
      <c r="D4955" s="216"/>
    </row>
    <row r="4956" ht="15">
      <c r="D4956" s="216"/>
    </row>
    <row r="4957" ht="15">
      <c r="D4957" s="216"/>
    </row>
    <row r="4958" ht="15">
      <c r="D4958" s="216"/>
    </row>
    <row r="4959" ht="15">
      <c r="D4959" s="216"/>
    </row>
    <row r="4960" ht="15">
      <c r="D4960" s="216"/>
    </row>
    <row r="4961" ht="15">
      <c r="D4961" s="216"/>
    </row>
    <row r="4962" ht="15">
      <c r="D4962" s="216"/>
    </row>
    <row r="4963" ht="15">
      <c r="D4963" s="216"/>
    </row>
    <row r="4964" ht="15">
      <c r="D4964" s="216"/>
    </row>
    <row r="4965" ht="15">
      <c r="D4965" s="216"/>
    </row>
    <row r="4966" ht="15">
      <c r="D4966" s="216"/>
    </row>
    <row r="4967" ht="15">
      <c r="D4967" s="216"/>
    </row>
    <row r="4968" ht="15">
      <c r="D4968" s="216"/>
    </row>
    <row r="4969" ht="15">
      <c r="D4969" s="216"/>
    </row>
    <row r="4970" ht="15">
      <c r="D4970" s="216"/>
    </row>
    <row r="4971" ht="15">
      <c r="D4971" s="216"/>
    </row>
    <row r="4972" ht="15">
      <c r="D4972" s="216"/>
    </row>
    <row r="4973" ht="15">
      <c r="D4973" s="216"/>
    </row>
    <row r="4974" ht="15">
      <c r="D4974" s="216"/>
    </row>
    <row r="4975" ht="15">
      <c r="D4975" s="216"/>
    </row>
    <row r="4976" ht="15">
      <c r="D4976" s="216"/>
    </row>
    <row r="4977" ht="15">
      <c r="D4977" s="216"/>
    </row>
    <row r="4978" ht="15">
      <c r="D4978" s="216"/>
    </row>
    <row r="4979" ht="15">
      <c r="D4979" s="216"/>
    </row>
    <row r="4980" ht="15">
      <c r="D4980" s="216"/>
    </row>
    <row r="4981" ht="15">
      <c r="D4981" s="216"/>
    </row>
    <row r="4982" ht="15">
      <c r="D4982" s="216"/>
    </row>
    <row r="4983" ht="15">
      <c r="D4983" s="216"/>
    </row>
    <row r="4984" ht="15">
      <c r="D4984" s="216"/>
    </row>
    <row r="4985" ht="15">
      <c r="D4985" s="216"/>
    </row>
    <row r="4986" ht="15">
      <c r="D4986" s="216"/>
    </row>
    <row r="4987" ht="15">
      <c r="D4987" s="216"/>
    </row>
    <row r="4988" ht="15">
      <c r="D4988" s="216"/>
    </row>
    <row r="4989" ht="15">
      <c r="D4989" s="216"/>
    </row>
    <row r="4990" ht="15">
      <c r="D4990" s="216"/>
    </row>
    <row r="4991" ht="15">
      <c r="D4991" s="216"/>
    </row>
    <row r="4992" ht="15">
      <c r="D4992" s="216"/>
    </row>
    <row r="4993" ht="15">
      <c r="D4993" s="216"/>
    </row>
    <row r="4994" ht="15">
      <c r="D4994" s="216"/>
    </row>
    <row r="4995" ht="15">
      <c r="D4995" s="216"/>
    </row>
    <row r="4996" ht="15">
      <c r="D4996" s="216"/>
    </row>
    <row r="4997" ht="15">
      <c r="D4997" s="216"/>
    </row>
    <row r="4998" ht="15">
      <c r="D4998" s="216"/>
    </row>
    <row r="4999" ht="15">
      <c r="D4999" s="216"/>
    </row>
    <row r="5000" ht="15">
      <c r="D5000" s="216"/>
    </row>
  </sheetData>
  <sheetProtection algorithmName="SHA-512" hashValue="suCeIAlaK28Tofy7ytiHbe0xQIB2wkBPfT/LuX6G8Vj8fwRI7QTODtN2t2/CoVFYyWN4ycvah8Zy3AE+pfp44Q==" saltValue="oMUiNoE3wOR+2r1TyTYWzQ==" spinCount="100000" sheet="1" formatRows="0"/>
  <mergeCells count="23">
    <mergeCell ref="C11:G11"/>
    <mergeCell ref="A1:G1"/>
    <mergeCell ref="C10:G10"/>
    <mergeCell ref="C2:S2"/>
    <mergeCell ref="C3:S3"/>
    <mergeCell ref="C4:S4"/>
    <mergeCell ref="C36:G36"/>
    <mergeCell ref="C13:G13"/>
    <mergeCell ref="C15:G15"/>
    <mergeCell ref="C17:G17"/>
    <mergeCell ref="C19:G19"/>
    <mergeCell ref="C21:G21"/>
    <mergeCell ref="C23:G23"/>
    <mergeCell ref="C25:G25"/>
    <mergeCell ref="C28:G28"/>
    <mergeCell ref="C30:G30"/>
    <mergeCell ref="C32:G32"/>
    <mergeCell ref="C34:G34"/>
    <mergeCell ref="C38:G38"/>
    <mergeCell ref="C40:G40"/>
    <mergeCell ref="C42:G42"/>
    <mergeCell ref="C44:G44"/>
    <mergeCell ref="C46:G46"/>
  </mergeCells>
  <printOptions/>
  <pageMargins left="0.1968503937007874" right="0.1968503937007874" top="0.5905511811023622" bottom="0.3937007874015748" header="0" footer="0.1968503937007874"/>
  <pageSetup horizontalDpi="600" verticalDpi="600" orientation="landscape" paperSize="9" r:id="rId3"/>
  <headerFooter>
    <oddFooter>&amp;LZpracováno programem BUILDpower S,  © RTS, a.s.&amp;RStránka &amp;P z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EC133-2372-4AB4-B49D-856F66B70B7A}">
  <sheetPr>
    <outlinePr summaryBelow="0"/>
  </sheetPr>
  <dimension ref="A1:BG5000"/>
  <sheetViews>
    <sheetView view="pageBreakPreview" zoomScale="115" zoomScaleSheetLayoutView="115" workbookViewId="0" topLeftCell="A140">
      <pane xSplit="1" topLeftCell="B1" activePane="topRight" state="frozen"/>
      <selection pane="topLeft" activeCell="A8" sqref="A8"/>
      <selection pane="topRight" activeCell="C153" sqref="C153"/>
    </sheetView>
  </sheetViews>
  <sheetFormatPr defaultColWidth="8.8515625" defaultRowHeight="15" outlineLevelRow="3"/>
  <cols>
    <col min="1" max="1" width="3.421875" style="210" customWidth="1"/>
    <col min="2" max="2" width="16.140625" style="213" customWidth="1"/>
    <col min="3" max="3" width="63.28125" style="213" customWidth="1"/>
    <col min="4" max="4" width="4.8515625" style="210" customWidth="1"/>
    <col min="5" max="5" width="10.7109375" style="210" customWidth="1"/>
    <col min="6" max="6" width="9.8515625" style="210" customWidth="1"/>
    <col min="7" max="7" width="12.7109375" style="210" customWidth="1"/>
    <col min="8" max="17" width="8.8515625" style="210" hidden="1" customWidth="1"/>
    <col min="18" max="18" width="6.8515625" style="210" customWidth="1"/>
    <col min="19" max="19" width="8.8515625" style="210" customWidth="1"/>
    <col min="20" max="24" width="8.8515625" style="210" hidden="1" customWidth="1"/>
    <col min="25" max="27" width="8.8515625" style="210" customWidth="1"/>
    <col min="28" max="28" width="8.8515625" style="210" hidden="1" customWidth="1"/>
    <col min="29" max="29" width="8.8515625" style="210" customWidth="1"/>
    <col min="30" max="40" width="8.8515625" style="210" hidden="1" customWidth="1"/>
    <col min="41" max="51" width="8.8515625" style="210" customWidth="1"/>
    <col min="52" max="52" width="98.7109375" style="210" hidden="1" customWidth="1"/>
    <col min="53" max="16384" width="8.8515625" style="210" customWidth="1"/>
  </cols>
  <sheetData>
    <row r="1" spans="1:32" ht="15.75" customHeight="1">
      <c r="A1" s="594" t="s">
        <v>2142</v>
      </c>
      <c r="B1" s="594"/>
      <c r="C1" s="594"/>
      <c r="D1" s="594"/>
      <c r="E1" s="594"/>
      <c r="F1" s="594"/>
      <c r="G1" s="594"/>
      <c r="AF1" s="210" t="s">
        <v>2143</v>
      </c>
    </row>
    <row r="2" spans="1:32" ht="25.2" customHeight="1">
      <c r="A2" s="211" t="s">
        <v>2144</v>
      </c>
      <c r="B2" s="212" t="s">
        <v>2145</v>
      </c>
      <c r="C2" s="595" t="s">
        <v>2146</v>
      </c>
      <c r="D2" s="596"/>
      <c r="E2" s="596"/>
      <c r="F2" s="596"/>
      <c r="G2" s="596"/>
      <c r="H2" s="596"/>
      <c r="I2" s="596"/>
      <c r="J2" s="596"/>
      <c r="K2" s="596"/>
      <c r="L2" s="596"/>
      <c r="M2" s="596"/>
      <c r="N2" s="596"/>
      <c r="O2" s="596"/>
      <c r="P2" s="596"/>
      <c r="Q2" s="596"/>
      <c r="R2" s="596"/>
      <c r="S2" s="597"/>
      <c r="AF2" s="210" t="s">
        <v>2147</v>
      </c>
    </row>
    <row r="3" spans="1:32" ht="25.2" customHeight="1">
      <c r="A3" s="211" t="s">
        <v>2148</v>
      </c>
      <c r="B3" s="212" t="s">
        <v>2149</v>
      </c>
      <c r="C3" s="595" t="s">
        <v>2150</v>
      </c>
      <c r="D3" s="596"/>
      <c r="E3" s="596"/>
      <c r="F3" s="596"/>
      <c r="G3" s="596"/>
      <c r="H3" s="596"/>
      <c r="I3" s="596"/>
      <c r="J3" s="596"/>
      <c r="K3" s="596"/>
      <c r="L3" s="596"/>
      <c r="M3" s="596"/>
      <c r="N3" s="596"/>
      <c r="O3" s="596"/>
      <c r="P3" s="596"/>
      <c r="Q3" s="596"/>
      <c r="R3" s="596"/>
      <c r="S3" s="597"/>
      <c r="AB3" s="213" t="s">
        <v>2147</v>
      </c>
      <c r="AF3" s="210" t="s">
        <v>2151</v>
      </c>
    </row>
    <row r="4" spans="1:32" ht="25.2" customHeight="1">
      <c r="A4" s="214" t="s">
        <v>2152</v>
      </c>
      <c r="B4" s="215" t="s">
        <v>51</v>
      </c>
      <c r="C4" s="598" t="s">
        <v>2153</v>
      </c>
      <c r="D4" s="599"/>
      <c r="E4" s="599"/>
      <c r="F4" s="599"/>
      <c r="G4" s="599"/>
      <c r="H4" s="599"/>
      <c r="I4" s="599"/>
      <c r="J4" s="599"/>
      <c r="K4" s="599"/>
      <c r="L4" s="599"/>
      <c r="M4" s="599"/>
      <c r="N4" s="599"/>
      <c r="O4" s="599"/>
      <c r="P4" s="599"/>
      <c r="Q4" s="599"/>
      <c r="R4" s="599"/>
      <c r="S4" s="600"/>
      <c r="AF4" s="210" t="s">
        <v>2154</v>
      </c>
    </row>
    <row r="5" ht="15">
      <c r="D5" s="216"/>
    </row>
    <row r="6" spans="1:24" ht="39.6">
      <c r="A6" s="217" t="s">
        <v>2155</v>
      </c>
      <c r="B6" s="218" t="s">
        <v>2156</v>
      </c>
      <c r="C6" s="218" t="s">
        <v>2157</v>
      </c>
      <c r="D6" s="219" t="s">
        <v>22</v>
      </c>
      <c r="E6" s="217" t="s">
        <v>23</v>
      </c>
      <c r="F6" s="220" t="s">
        <v>2158</v>
      </c>
      <c r="G6" s="217" t="s">
        <v>34</v>
      </c>
      <c r="H6" s="221" t="s">
        <v>32</v>
      </c>
      <c r="I6" s="221" t="s">
        <v>2159</v>
      </c>
      <c r="J6" s="221" t="s">
        <v>33</v>
      </c>
      <c r="K6" s="221" t="s">
        <v>2160</v>
      </c>
      <c r="L6" s="221" t="s">
        <v>859</v>
      </c>
      <c r="M6" s="221" t="s">
        <v>2161</v>
      </c>
      <c r="N6" s="221" t="s">
        <v>2162</v>
      </c>
      <c r="O6" s="221" t="s">
        <v>2163</v>
      </c>
      <c r="P6" s="221" t="s">
        <v>2164</v>
      </c>
      <c r="Q6" s="221" t="s">
        <v>2165</v>
      </c>
      <c r="R6" s="221" t="s">
        <v>2166</v>
      </c>
      <c r="S6" s="221" t="s">
        <v>2167</v>
      </c>
      <c r="T6" s="221" t="s">
        <v>2168</v>
      </c>
      <c r="U6" s="221" t="s">
        <v>2169</v>
      </c>
      <c r="V6" s="221" t="s">
        <v>2170</v>
      </c>
      <c r="W6" s="221" t="s">
        <v>2171</v>
      </c>
      <c r="X6" s="221" t="s">
        <v>2172</v>
      </c>
    </row>
    <row r="7" spans="1:24" ht="15" hidden="1">
      <c r="A7" s="222"/>
      <c r="B7" s="223"/>
      <c r="C7" s="223"/>
      <c r="D7" s="224"/>
      <c r="E7" s="225"/>
      <c r="F7" s="226"/>
      <c r="G7" s="226"/>
      <c r="H7" s="226"/>
      <c r="I7" s="226"/>
      <c r="J7" s="226"/>
      <c r="K7" s="226"/>
      <c r="L7" s="226"/>
      <c r="M7" s="226"/>
      <c r="N7" s="225"/>
      <c r="O7" s="225"/>
      <c r="P7" s="225"/>
      <c r="Q7" s="225"/>
      <c r="R7" s="226"/>
      <c r="S7" s="226"/>
      <c r="T7" s="226"/>
      <c r="U7" s="226"/>
      <c r="V7" s="226"/>
      <c r="W7" s="226"/>
      <c r="X7" s="226"/>
    </row>
    <row r="8" spans="1:32" ht="15">
      <c r="A8" s="227" t="s">
        <v>2173</v>
      </c>
      <c r="B8" s="228" t="s">
        <v>51</v>
      </c>
      <c r="C8" s="229" t="s">
        <v>882</v>
      </c>
      <c r="D8" s="230"/>
      <c r="E8" s="231"/>
      <c r="F8" s="232"/>
      <c r="G8" s="232">
        <f>SUMIF(AF9:AF11,"&lt;&gt;NOR",G9:G11)</f>
        <v>0</v>
      </c>
      <c r="H8" s="232"/>
      <c r="I8" s="232">
        <f>SUM(I9:I11)</f>
        <v>0</v>
      </c>
      <c r="J8" s="232"/>
      <c r="K8" s="232">
        <f>SUM(K9:K11)</f>
        <v>514.08</v>
      </c>
      <c r="L8" s="232"/>
      <c r="M8" s="232">
        <f>SUM(M9:M11)</f>
        <v>0</v>
      </c>
      <c r="N8" s="231"/>
      <c r="O8" s="231">
        <f>SUM(O9:O11)</f>
        <v>0</v>
      </c>
      <c r="P8" s="231"/>
      <c r="Q8" s="231">
        <f>SUM(Q9:Q11)</f>
        <v>0</v>
      </c>
      <c r="R8" s="232"/>
      <c r="S8" s="232"/>
      <c r="T8" s="233"/>
      <c r="U8" s="233">
        <f>SUM(U9:U11)</f>
        <v>1.27</v>
      </c>
      <c r="V8" s="233"/>
      <c r="W8" s="233"/>
      <c r="X8" s="233"/>
      <c r="AF8" s="210" t="s">
        <v>2174</v>
      </c>
    </row>
    <row r="9" spans="1:59" ht="15" outlineLevel="1">
      <c r="A9" s="234">
        <v>1</v>
      </c>
      <c r="B9" s="235" t="s">
        <v>2175</v>
      </c>
      <c r="C9" s="236" t="s">
        <v>2176</v>
      </c>
      <c r="D9" s="237" t="s">
        <v>81</v>
      </c>
      <c r="E9" s="238">
        <v>0.36</v>
      </c>
      <c r="F9" s="239"/>
      <c r="G9" s="240">
        <f>ROUND(E9*F9,2)</f>
        <v>0</v>
      </c>
      <c r="H9" s="239">
        <v>0</v>
      </c>
      <c r="I9" s="240">
        <f>ROUND(E9*H9,2)</f>
        <v>0</v>
      </c>
      <c r="J9" s="239">
        <v>1428</v>
      </c>
      <c r="K9" s="240">
        <f>ROUND(E9*J9,2)</f>
        <v>514.08</v>
      </c>
      <c r="L9" s="240">
        <v>21</v>
      </c>
      <c r="M9" s="240">
        <f>G9*(1+L9/100)</f>
        <v>0</v>
      </c>
      <c r="N9" s="238">
        <v>0</v>
      </c>
      <c r="O9" s="238">
        <f>ROUND(E9*N9,2)</f>
        <v>0</v>
      </c>
      <c r="P9" s="238">
        <v>0</v>
      </c>
      <c r="Q9" s="238">
        <f>ROUND(E9*P9,2)</f>
        <v>0</v>
      </c>
      <c r="R9" s="240" t="s">
        <v>1999</v>
      </c>
      <c r="S9" s="240" t="s">
        <v>2177</v>
      </c>
      <c r="T9" s="241">
        <v>3.533</v>
      </c>
      <c r="U9" s="241">
        <f>ROUND(E9*T9,2)</f>
        <v>1.27</v>
      </c>
      <c r="V9" s="241"/>
      <c r="W9" s="241" t="s">
        <v>2178</v>
      </c>
      <c r="X9" s="241" t="s">
        <v>2179</v>
      </c>
      <c r="Y9" s="242"/>
      <c r="Z9" s="242"/>
      <c r="AA9" s="242"/>
      <c r="AB9" s="242"/>
      <c r="AC9" s="242"/>
      <c r="AD9" s="242"/>
      <c r="AE9" s="242"/>
      <c r="AF9" s="242" t="s">
        <v>2180</v>
      </c>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row>
    <row r="10" spans="1:59" ht="15" outlineLevel="2">
      <c r="A10" s="243"/>
      <c r="B10" s="244"/>
      <c r="C10" s="601" t="s">
        <v>2181</v>
      </c>
      <c r="D10" s="602"/>
      <c r="E10" s="602"/>
      <c r="F10" s="602"/>
      <c r="G10" s="602"/>
      <c r="H10" s="241"/>
      <c r="I10" s="241"/>
      <c r="J10" s="241"/>
      <c r="K10" s="241"/>
      <c r="L10" s="241"/>
      <c r="M10" s="241"/>
      <c r="N10" s="245"/>
      <c r="O10" s="245"/>
      <c r="P10" s="245"/>
      <c r="Q10" s="245"/>
      <c r="R10" s="241"/>
      <c r="S10" s="241"/>
      <c r="T10" s="241"/>
      <c r="U10" s="241"/>
      <c r="V10" s="241"/>
      <c r="W10" s="241"/>
      <c r="X10" s="241"/>
      <c r="Y10" s="242"/>
      <c r="Z10" s="242"/>
      <c r="AA10" s="242"/>
      <c r="AB10" s="242"/>
      <c r="AC10" s="242"/>
      <c r="AD10" s="242"/>
      <c r="AE10" s="242"/>
      <c r="AF10" s="242" t="s">
        <v>2182</v>
      </c>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row>
    <row r="11" spans="1:59" ht="15" outlineLevel="2">
      <c r="A11" s="243"/>
      <c r="B11" s="244"/>
      <c r="C11" s="246" t="s">
        <v>2183</v>
      </c>
      <c r="D11" s="247"/>
      <c r="E11" s="248">
        <v>0.36</v>
      </c>
      <c r="F11" s="241"/>
      <c r="G11" s="241"/>
      <c r="H11" s="241"/>
      <c r="I11" s="241"/>
      <c r="J11" s="241"/>
      <c r="K11" s="241"/>
      <c r="L11" s="241"/>
      <c r="M11" s="241"/>
      <c r="N11" s="245"/>
      <c r="O11" s="245"/>
      <c r="P11" s="245"/>
      <c r="Q11" s="245"/>
      <c r="R11" s="241"/>
      <c r="S11" s="241"/>
      <c r="T11" s="241"/>
      <c r="U11" s="241"/>
      <c r="V11" s="241"/>
      <c r="W11" s="241"/>
      <c r="X11" s="241"/>
      <c r="Y11" s="242"/>
      <c r="Z11" s="242"/>
      <c r="AA11" s="242"/>
      <c r="AB11" s="242"/>
      <c r="AC11" s="242"/>
      <c r="AD11" s="242"/>
      <c r="AE11" s="242"/>
      <c r="AF11" s="242" t="s">
        <v>1418</v>
      </c>
      <c r="AG11" s="242">
        <v>0</v>
      </c>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row>
    <row r="12" spans="1:32" ht="15">
      <c r="A12" s="227" t="s">
        <v>2173</v>
      </c>
      <c r="B12" s="228" t="s">
        <v>49</v>
      </c>
      <c r="C12" s="229" t="s">
        <v>50</v>
      </c>
      <c r="D12" s="230"/>
      <c r="E12" s="231"/>
      <c r="F12" s="232"/>
      <c r="G12" s="232">
        <f>SUMIF(AF13:AF114,"&lt;&gt;NOR",G13:G114)</f>
        <v>0</v>
      </c>
      <c r="H12" s="232"/>
      <c r="I12" s="232">
        <f>SUM(I13:I114)</f>
        <v>0</v>
      </c>
      <c r="J12" s="232"/>
      <c r="K12" s="232">
        <f>SUM(K13:K114)</f>
        <v>1168625.0999999999</v>
      </c>
      <c r="L12" s="232"/>
      <c r="M12" s="232">
        <f>SUM(M13:M114)</f>
        <v>0</v>
      </c>
      <c r="N12" s="231"/>
      <c r="O12" s="231">
        <f>SUM(O13:O114)</f>
        <v>0</v>
      </c>
      <c r="P12" s="231"/>
      <c r="Q12" s="231">
        <f>SUM(Q13:Q114)</f>
        <v>0</v>
      </c>
      <c r="R12" s="232"/>
      <c r="S12" s="232"/>
      <c r="T12" s="233"/>
      <c r="U12" s="233">
        <f>SUM(U13:U114)</f>
        <v>1962.04</v>
      </c>
      <c r="V12" s="233"/>
      <c r="W12" s="233"/>
      <c r="X12" s="233"/>
      <c r="AF12" s="210" t="s">
        <v>2174</v>
      </c>
    </row>
    <row r="13" spans="1:59" ht="15" outlineLevel="1">
      <c r="A13" s="234">
        <v>2</v>
      </c>
      <c r="B13" s="235" t="s">
        <v>2184</v>
      </c>
      <c r="C13" s="236" t="s">
        <v>2185</v>
      </c>
      <c r="D13" s="237" t="s">
        <v>54</v>
      </c>
      <c r="E13" s="238">
        <v>240</v>
      </c>
      <c r="F13" s="239"/>
      <c r="G13" s="240">
        <f>ROUND(E13*F13,2)</f>
        <v>0</v>
      </c>
      <c r="H13" s="239">
        <v>0</v>
      </c>
      <c r="I13" s="240">
        <f>ROUND(E13*H13,2)</f>
        <v>0</v>
      </c>
      <c r="J13" s="239">
        <v>72.9</v>
      </c>
      <c r="K13" s="240">
        <f>ROUND(E13*J13,2)</f>
        <v>17496</v>
      </c>
      <c r="L13" s="240">
        <v>21</v>
      </c>
      <c r="M13" s="240">
        <f>G13*(1+L13/100)</f>
        <v>0</v>
      </c>
      <c r="N13" s="238">
        <v>0</v>
      </c>
      <c r="O13" s="238">
        <f>ROUND(E13*N13,2)</f>
        <v>0</v>
      </c>
      <c r="P13" s="238">
        <v>0</v>
      </c>
      <c r="Q13" s="238">
        <f>ROUND(E13*P13,2)</f>
        <v>0</v>
      </c>
      <c r="R13" s="240" t="s">
        <v>1999</v>
      </c>
      <c r="S13" s="240" t="s">
        <v>2177</v>
      </c>
      <c r="T13" s="241">
        <v>0.17</v>
      </c>
      <c r="U13" s="241">
        <f>ROUND(E13*T13,2)</f>
        <v>40.8</v>
      </c>
      <c r="V13" s="241"/>
      <c r="W13" s="241" t="s">
        <v>2178</v>
      </c>
      <c r="X13" s="241" t="s">
        <v>2179</v>
      </c>
      <c r="Y13" s="242"/>
      <c r="Z13" s="242"/>
      <c r="AA13" s="242"/>
      <c r="AB13" s="242"/>
      <c r="AC13" s="242"/>
      <c r="AD13" s="242"/>
      <c r="AE13" s="242"/>
      <c r="AF13" s="242" t="s">
        <v>2180</v>
      </c>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row>
    <row r="14" spans="1:59" ht="21" outlineLevel="2">
      <c r="A14" s="243"/>
      <c r="B14" s="244"/>
      <c r="C14" s="601" t="s">
        <v>2186</v>
      </c>
      <c r="D14" s="602"/>
      <c r="E14" s="602"/>
      <c r="F14" s="602"/>
      <c r="G14" s="602"/>
      <c r="H14" s="241"/>
      <c r="I14" s="241"/>
      <c r="J14" s="241"/>
      <c r="K14" s="241"/>
      <c r="L14" s="241"/>
      <c r="M14" s="241"/>
      <c r="N14" s="245"/>
      <c r="O14" s="245"/>
      <c r="P14" s="245"/>
      <c r="Q14" s="245"/>
      <c r="R14" s="241"/>
      <c r="S14" s="241"/>
      <c r="T14" s="241"/>
      <c r="U14" s="241"/>
      <c r="V14" s="241"/>
      <c r="W14" s="241"/>
      <c r="X14" s="241"/>
      <c r="Y14" s="242"/>
      <c r="Z14" s="242"/>
      <c r="AA14" s="242"/>
      <c r="AB14" s="242"/>
      <c r="AC14" s="242"/>
      <c r="AD14" s="242"/>
      <c r="AE14" s="242"/>
      <c r="AF14" s="242" t="s">
        <v>2182</v>
      </c>
      <c r="AG14" s="242"/>
      <c r="AH14" s="242"/>
      <c r="AI14" s="242"/>
      <c r="AJ14" s="242"/>
      <c r="AK14" s="242"/>
      <c r="AL14" s="242"/>
      <c r="AM14" s="242"/>
      <c r="AN14" s="242"/>
      <c r="AO14" s="242"/>
      <c r="AP14" s="242"/>
      <c r="AQ14" s="242"/>
      <c r="AR14" s="242"/>
      <c r="AS14" s="242"/>
      <c r="AT14" s="242"/>
      <c r="AU14" s="242"/>
      <c r="AV14" s="242"/>
      <c r="AW14" s="242"/>
      <c r="AX14" s="242"/>
      <c r="AY14" s="242"/>
      <c r="AZ14" s="249" t="str">
        <f>C14</f>
        <v>s odstraněním kořenů a s případným nutným odklizením křovin a stromů na hromady na vzdálenost do 50 m nebo s naložením na dopravní prostředek, do sklonu terénu 1 : 5,</v>
      </c>
      <c r="BA14" s="242"/>
      <c r="BB14" s="242"/>
      <c r="BC14" s="242"/>
      <c r="BD14" s="242"/>
      <c r="BE14" s="242"/>
      <c r="BF14" s="242"/>
      <c r="BG14" s="242"/>
    </row>
    <row r="15" spans="1:59" ht="15" outlineLevel="2">
      <c r="A15" s="243"/>
      <c r="B15" s="244"/>
      <c r="C15" s="246" t="s">
        <v>2187</v>
      </c>
      <c r="D15" s="247"/>
      <c r="E15" s="248">
        <v>124</v>
      </c>
      <c r="F15" s="241"/>
      <c r="G15" s="241"/>
      <c r="H15" s="241"/>
      <c r="I15" s="241"/>
      <c r="J15" s="241"/>
      <c r="K15" s="241"/>
      <c r="L15" s="241"/>
      <c r="M15" s="241"/>
      <c r="N15" s="245"/>
      <c r="O15" s="245"/>
      <c r="P15" s="245"/>
      <c r="Q15" s="245"/>
      <c r="R15" s="241"/>
      <c r="S15" s="241"/>
      <c r="T15" s="241"/>
      <c r="U15" s="241"/>
      <c r="V15" s="241"/>
      <c r="W15" s="241"/>
      <c r="X15" s="241"/>
      <c r="Y15" s="242"/>
      <c r="Z15" s="242"/>
      <c r="AA15" s="242"/>
      <c r="AB15" s="242"/>
      <c r="AC15" s="242"/>
      <c r="AD15" s="242"/>
      <c r="AE15" s="242"/>
      <c r="AF15" s="242" t="s">
        <v>1418</v>
      </c>
      <c r="AG15" s="242">
        <v>0</v>
      </c>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row>
    <row r="16" spans="1:59" ht="15" outlineLevel="3">
      <c r="A16" s="243"/>
      <c r="B16" s="244"/>
      <c r="C16" s="246" t="s">
        <v>2188</v>
      </c>
      <c r="D16" s="247"/>
      <c r="E16" s="248">
        <v>57</v>
      </c>
      <c r="F16" s="241"/>
      <c r="G16" s="241"/>
      <c r="H16" s="241"/>
      <c r="I16" s="241"/>
      <c r="J16" s="241"/>
      <c r="K16" s="241"/>
      <c r="L16" s="241"/>
      <c r="M16" s="241"/>
      <c r="N16" s="245"/>
      <c r="O16" s="245"/>
      <c r="P16" s="245"/>
      <c r="Q16" s="245"/>
      <c r="R16" s="241"/>
      <c r="S16" s="241"/>
      <c r="T16" s="241"/>
      <c r="U16" s="241"/>
      <c r="V16" s="241"/>
      <c r="W16" s="241"/>
      <c r="X16" s="241"/>
      <c r="Y16" s="242"/>
      <c r="Z16" s="242"/>
      <c r="AA16" s="242"/>
      <c r="AB16" s="242"/>
      <c r="AC16" s="242"/>
      <c r="AD16" s="242"/>
      <c r="AE16" s="242"/>
      <c r="AF16" s="242" t="s">
        <v>1418</v>
      </c>
      <c r="AG16" s="242">
        <v>0</v>
      </c>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row>
    <row r="17" spans="1:59" ht="15" outlineLevel="3">
      <c r="A17" s="243"/>
      <c r="B17" s="244"/>
      <c r="C17" s="246" t="s">
        <v>2189</v>
      </c>
      <c r="D17" s="247"/>
      <c r="E17" s="248">
        <v>59</v>
      </c>
      <c r="F17" s="241"/>
      <c r="G17" s="241"/>
      <c r="H17" s="241"/>
      <c r="I17" s="241"/>
      <c r="J17" s="241"/>
      <c r="K17" s="241"/>
      <c r="L17" s="241"/>
      <c r="M17" s="241"/>
      <c r="N17" s="245"/>
      <c r="O17" s="245"/>
      <c r="P17" s="245"/>
      <c r="Q17" s="245"/>
      <c r="R17" s="241"/>
      <c r="S17" s="241"/>
      <c r="T17" s="241"/>
      <c r="U17" s="241"/>
      <c r="V17" s="241"/>
      <c r="W17" s="241"/>
      <c r="X17" s="241"/>
      <c r="Y17" s="242"/>
      <c r="Z17" s="242"/>
      <c r="AA17" s="242"/>
      <c r="AB17" s="242"/>
      <c r="AC17" s="242"/>
      <c r="AD17" s="242"/>
      <c r="AE17" s="242"/>
      <c r="AF17" s="242" t="s">
        <v>1418</v>
      </c>
      <c r="AG17" s="242">
        <v>0</v>
      </c>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row>
    <row r="18" spans="1:59" ht="20.4" outlineLevel="1">
      <c r="A18" s="234">
        <v>3</v>
      </c>
      <c r="B18" s="235" t="s">
        <v>2190</v>
      </c>
      <c r="C18" s="236" t="s">
        <v>2191</v>
      </c>
      <c r="D18" s="237" t="s">
        <v>54</v>
      </c>
      <c r="E18" s="238">
        <v>1059</v>
      </c>
      <c r="F18" s="239"/>
      <c r="G18" s="240">
        <f>ROUND(E18*F18,2)</f>
        <v>0</v>
      </c>
      <c r="H18" s="239">
        <v>0</v>
      </c>
      <c r="I18" s="240">
        <f>ROUND(E18*H18,2)</f>
        <v>0</v>
      </c>
      <c r="J18" s="239">
        <v>724</v>
      </c>
      <c r="K18" s="240">
        <f>ROUND(E18*J18,2)</f>
        <v>766716</v>
      </c>
      <c r="L18" s="240">
        <v>21</v>
      </c>
      <c r="M18" s="240">
        <f>G18*(1+L18/100)</f>
        <v>0</v>
      </c>
      <c r="N18" s="238">
        <v>0</v>
      </c>
      <c r="O18" s="238">
        <f>ROUND(E18*N18,2)</f>
        <v>0</v>
      </c>
      <c r="P18" s="238">
        <v>0</v>
      </c>
      <c r="Q18" s="238">
        <f>ROUND(E18*P18,2)</f>
        <v>0</v>
      </c>
      <c r="R18" s="240" t="s">
        <v>2010</v>
      </c>
      <c r="S18" s="240" t="s">
        <v>2177</v>
      </c>
      <c r="T18" s="241">
        <v>1.56</v>
      </c>
      <c r="U18" s="241">
        <f>ROUND(E18*T18,2)</f>
        <v>1652.04</v>
      </c>
      <c r="V18" s="241"/>
      <c r="W18" s="241" t="s">
        <v>2178</v>
      </c>
      <c r="X18" s="241" t="s">
        <v>2179</v>
      </c>
      <c r="Y18" s="242"/>
      <c r="Z18" s="242"/>
      <c r="AA18" s="242"/>
      <c r="AB18" s="242"/>
      <c r="AC18" s="242"/>
      <c r="AD18" s="242"/>
      <c r="AE18" s="242"/>
      <c r="AF18" s="242" t="s">
        <v>2180</v>
      </c>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row>
    <row r="19" spans="1:59" ht="21" outlineLevel="2">
      <c r="A19" s="243"/>
      <c r="B19" s="244"/>
      <c r="C19" s="601" t="s">
        <v>2192</v>
      </c>
      <c r="D19" s="602"/>
      <c r="E19" s="602"/>
      <c r="F19" s="602"/>
      <c r="G19" s="602"/>
      <c r="H19" s="241"/>
      <c r="I19" s="241"/>
      <c r="J19" s="241"/>
      <c r="K19" s="241"/>
      <c r="L19" s="241"/>
      <c r="M19" s="241"/>
      <c r="N19" s="245"/>
      <c r="O19" s="245"/>
      <c r="P19" s="245"/>
      <c r="Q19" s="245"/>
      <c r="R19" s="241"/>
      <c r="S19" s="241"/>
      <c r="T19" s="241"/>
      <c r="U19" s="241"/>
      <c r="V19" s="241"/>
      <c r="W19" s="241"/>
      <c r="X19" s="241"/>
      <c r="Y19" s="242"/>
      <c r="Z19" s="242"/>
      <c r="AA19" s="242"/>
      <c r="AB19" s="242"/>
      <c r="AC19" s="242"/>
      <c r="AD19" s="242"/>
      <c r="AE19" s="242"/>
      <c r="AF19" s="242" t="s">
        <v>2182</v>
      </c>
      <c r="AG19" s="242"/>
      <c r="AH19" s="242"/>
      <c r="AI19" s="242"/>
      <c r="AJ19" s="242"/>
      <c r="AK19" s="242"/>
      <c r="AL19" s="242"/>
      <c r="AM19" s="242"/>
      <c r="AN19" s="242"/>
      <c r="AO19" s="242"/>
      <c r="AP19" s="242"/>
      <c r="AQ19" s="242"/>
      <c r="AR19" s="242"/>
      <c r="AS19" s="242"/>
      <c r="AT19" s="242"/>
      <c r="AU19" s="242"/>
      <c r="AV19" s="242"/>
      <c r="AW19" s="242"/>
      <c r="AX19" s="242"/>
      <c r="AY19" s="242"/>
      <c r="AZ19" s="249" t="str">
        <f>C19</f>
        <v>o průměru kmene (krčku) do 10 cm s odklizením vytěžené dřevní hmoty na vzdálenost do 50 m, se složením na hromady, nebo s naložením na dopravní prostředek,</v>
      </c>
      <c r="BA19" s="242"/>
      <c r="BB19" s="242"/>
      <c r="BC19" s="242"/>
      <c r="BD19" s="242"/>
      <c r="BE19" s="242"/>
      <c r="BF19" s="242"/>
      <c r="BG19" s="242"/>
    </row>
    <row r="20" spans="1:59" ht="15" outlineLevel="2">
      <c r="A20" s="243"/>
      <c r="B20" s="244"/>
      <c r="C20" s="246" t="s">
        <v>2193</v>
      </c>
      <c r="D20" s="247"/>
      <c r="E20" s="248">
        <v>1059</v>
      </c>
      <c r="F20" s="241"/>
      <c r="G20" s="241"/>
      <c r="H20" s="241"/>
      <c r="I20" s="241"/>
      <c r="J20" s="241"/>
      <c r="K20" s="241"/>
      <c r="L20" s="241"/>
      <c r="M20" s="241"/>
      <c r="N20" s="245"/>
      <c r="O20" s="245"/>
      <c r="P20" s="245"/>
      <c r="Q20" s="245"/>
      <c r="R20" s="241"/>
      <c r="S20" s="241"/>
      <c r="T20" s="241"/>
      <c r="U20" s="241"/>
      <c r="V20" s="241"/>
      <c r="W20" s="241"/>
      <c r="X20" s="241"/>
      <c r="Y20" s="242"/>
      <c r="Z20" s="242"/>
      <c r="AA20" s="242"/>
      <c r="AB20" s="242"/>
      <c r="AC20" s="242"/>
      <c r="AD20" s="242"/>
      <c r="AE20" s="242"/>
      <c r="AF20" s="242" t="s">
        <v>1418</v>
      </c>
      <c r="AG20" s="242">
        <v>0</v>
      </c>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row>
    <row r="21" spans="1:59" ht="15" outlineLevel="1">
      <c r="A21" s="234">
        <v>4</v>
      </c>
      <c r="B21" s="235" t="s">
        <v>2194</v>
      </c>
      <c r="C21" s="236" t="s">
        <v>2195</v>
      </c>
      <c r="D21" s="237" t="s">
        <v>260</v>
      </c>
      <c r="E21" s="238">
        <v>25</v>
      </c>
      <c r="F21" s="239"/>
      <c r="G21" s="240">
        <f>ROUND(E21*F21,2)</f>
        <v>0</v>
      </c>
      <c r="H21" s="239">
        <v>0</v>
      </c>
      <c r="I21" s="240">
        <f>ROUND(E21*H21,2)</f>
        <v>0</v>
      </c>
      <c r="J21" s="239">
        <v>784</v>
      </c>
      <c r="K21" s="240">
        <f>ROUND(E21*J21,2)</f>
        <v>19600</v>
      </c>
      <c r="L21" s="240">
        <v>21</v>
      </c>
      <c r="M21" s="240">
        <f>G21*(1+L21/100)</f>
        <v>0</v>
      </c>
      <c r="N21" s="238">
        <v>0</v>
      </c>
      <c r="O21" s="238">
        <f>ROUND(E21*N21,2)</f>
        <v>0</v>
      </c>
      <c r="P21" s="238">
        <v>0</v>
      </c>
      <c r="Q21" s="238">
        <f>ROUND(E21*P21,2)</f>
        <v>0</v>
      </c>
      <c r="R21" s="240" t="s">
        <v>2010</v>
      </c>
      <c r="S21" s="240" t="s">
        <v>2177</v>
      </c>
      <c r="T21" s="241">
        <v>1.41</v>
      </c>
      <c r="U21" s="241">
        <f>ROUND(E21*T21,2)</f>
        <v>35.25</v>
      </c>
      <c r="V21" s="241"/>
      <c r="W21" s="241" t="s">
        <v>2178</v>
      </c>
      <c r="X21" s="241" t="s">
        <v>2179</v>
      </c>
      <c r="Y21" s="242"/>
      <c r="Z21" s="242"/>
      <c r="AA21" s="242"/>
      <c r="AB21" s="242"/>
      <c r="AC21" s="242"/>
      <c r="AD21" s="242"/>
      <c r="AE21" s="242"/>
      <c r="AF21" s="242" t="s">
        <v>2180</v>
      </c>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row>
    <row r="22" spans="1:59" ht="15" outlineLevel="2">
      <c r="A22" s="243"/>
      <c r="B22" s="244"/>
      <c r="C22" s="601" t="s">
        <v>2196</v>
      </c>
      <c r="D22" s="602"/>
      <c r="E22" s="602"/>
      <c r="F22" s="602"/>
      <c r="G22" s="602"/>
      <c r="H22" s="241"/>
      <c r="I22" s="241"/>
      <c r="J22" s="241"/>
      <c r="K22" s="241"/>
      <c r="L22" s="241"/>
      <c r="M22" s="241"/>
      <c r="N22" s="245"/>
      <c r="O22" s="245"/>
      <c r="P22" s="245"/>
      <c r="Q22" s="245"/>
      <c r="R22" s="241"/>
      <c r="S22" s="241"/>
      <c r="T22" s="241"/>
      <c r="U22" s="241"/>
      <c r="V22" s="241"/>
      <c r="W22" s="241"/>
      <c r="X22" s="241"/>
      <c r="Y22" s="242"/>
      <c r="Z22" s="242"/>
      <c r="AA22" s="242"/>
      <c r="AB22" s="242"/>
      <c r="AC22" s="242"/>
      <c r="AD22" s="242"/>
      <c r="AE22" s="242"/>
      <c r="AF22" s="242" t="s">
        <v>2182</v>
      </c>
      <c r="AG22" s="242"/>
      <c r="AH22" s="242"/>
      <c r="AI22" s="242"/>
      <c r="AJ22" s="242"/>
      <c r="AK22" s="242"/>
      <c r="AL22" s="242"/>
      <c r="AM22" s="242"/>
      <c r="AN22" s="242"/>
      <c r="AO22" s="242"/>
      <c r="AP22" s="242"/>
      <c r="AQ22" s="242"/>
      <c r="AR22" s="242"/>
      <c r="AS22" s="242"/>
      <c r="AT22" s="242"/>
      <c r="AU22" s="242"/>
      <c r="AV22" s="242"/>
      <c r="AW22" s="242"/>
      <c r="AX22" s="242"/>
      <c r="AY22" s="242"/>
      <c r="AZ22" s="249" t="str">
        <f>C22</f>
        <v>s rozřezáním a odstraněním větví a kmene do vzdálenosti 20 m, se složením na hromady nebo s naložením na dopravní prostředek,</v>
      </c>
      <c r="BA22" s="242"/>
      <c r="BB22" s="242"/>
      <c r="BC22" s="242"/>
      <c r="BD22" s="242"/>
      <c r="BE22" s="242"/>
      <c r="BF22" s="242"/>
      <c r="BG22" s="242"/>
    </row>
    <row r="23" spans="1:59" ht="15" outlineLevel="2">
      <c r="A23" s="243"/>
      <c r="B23" s="244"/>
      <c r="C23" s="246" t="s">
        <v>2197</v>
      </c>
      <c r="D23" s="247"/>
      <c r="E23" s="248">
        <v>2</v>
      </c>
      <c r="F23" s="241"/>
      <c r="G23" s="241"/>
      <c r="H23" s="241"/>
      <c r="I23" s="241"/>
      <c r="J23" s="241"/>
      <c r="K23" s="241"/>
      <c r="L23" s="241"/>
      <c r="M23" s="241"/>
      <c r="N23" s="245"/>
      <c r="O23" s="245"/>
      <c r="P23" s="245"/>
      <c r="Q23" s="245"/>
      <c r="R23" s="241"/>
      <c r="S23" s="241"/>
      <c r="T23" s="241"/>
      <c r="U23" s="241"/>
      <c r="V23" s="241"/>
      <c r="W23" s="241"/>
      <c r="X23" s="241"/>
      <c r="Y23" s="242"/>
      <c r="Z23" s="242"/>
      <c r="AA23" s="242"/>
      <c r="AB23" s="242"/>
      <c r="AC23" s="242"/>
      <c r="AD23" s="242"/>
      <c r="AE23" s="242"/>
      <c r="AF23" s="242" t="s">
        <v>1418</v>
      </c>
      <c r="AG23" s="242">
        <v>0</v>
      </c>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row>
    <row r="24" spans="1:59" ht="15" outlineLevel="3">
      <c r="A24" s="243"/>
      <c r="B24" s="244"/>
      <c r="C24" s="246" t="s">
        <v>2198</v>
      </c>
      <c r="D24" s="247"/>
      <c r="E24" s="248">
        <v>23</v>
      </c>
      <c r="F24" s="241"/>
      <c r="G24" s="241"/>
      <c r="H24" s="241"/>
      <c r="I24" s="241"/>
      <c r="J24" s="241"/>
      <c r="K24" s="241"/>
      <c r="L24" s="241"/>
      <c r="M24" s="241"/>
      <c r="N24" s="245"/>
      <c r="O24" s="245"/>
      <c r="P24" s="245"/>
      <c r="Q24" s="245"/>
      <c r="R24" s="241"/>
      <c r="S24" s="241"/>
      <c r="T24" s="241"/>
      <c r="U24" s="241"/>
      <c r="V24" s="241"/>
      <c r="W24" s="241"/>
      <c r="X24" s="241"/>
      <c r="Y24" s="242"/>
      <c r="Z24" s="242"/>
      <c r="AA24" s="242"/>
      <c r="AB24" s="242"/>
      <c r="AC24" s="242"/>
      <c r="AD24" s="242"/>
      <c r="AE24" s="242"/>
      <c r="AF24" s="242" t="s">
        <v>1418</v>
      </c>
      <c r="AG24" s="242">
        <v>0</v>
      </c>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row>
    <row r="25" spans="1:59" ht="15" outlineLevel="1">
      <c r="A25" s="234">
        <v>5</v>
      </c>
      <c r="B25" s="235" t="s">
        <v>2199</v>
      </c>
      <c r="C25" s="236" t="s">
        <v>2200</v>
      </c>
      <c r="D25" s="237" t="s">
        <v>260</v>
      </c>
      <c r="E25" s="238">
        <v>14</v>
      </c>
      <c r="F25" s="239"/>
      <c r="G25" s="240">
        <f>ROUND(E25*F25,2)</f>
        <v>0</v>
      </c>
      <c r="H25" s="239">
        <v>0</v>
      </c>
      <c r="I25" s="240">
        <f>ROUND(E25*H25,2)</f>
        <v>0</v>
      </c>
      <c r="J25" s="239">
        <v>2175</v>
      </c>
      <c r="K25" s="240">
        <f>ROUND(E25*J25,2)</f>
        <v>30450</v>
      </c>
      <c r="L25" s="240">
        <v>21</v>
      </c>
      <c r="M25" s="240">
        <f>G25*(1+L25/100)</f>
        <v>0</v>
      </c>
      <c r="N25" s="238">
        <v>0</v>
      </c>
      <c r="O25" s="238">
        <f>ROUND(E25*N25,2)</f>
        <v>0</v>
      </c>
      <c r="P25" s="238">
        <v>0</v>
      </c>
      <c r="Q25" s="238">
        <f>ROUND(E25*P25,2)</f>
        <v>0</v>
      </c>
      <c r="R25" s="240" t="s">
        <v>2010</v>
      </c>
      <c r="S25" s="240" t="s">
        <v>2177</v>
      </c>
      <c r="T25" s="241">
        <v>3.29</v>
      </c>
      <c r="U25" s="241">
        <f>ROUND(E25*T25,2)</f>
        <v>46.06</v>
      </c>
      <c r="V25" s="241"/>
      <c r="W25" s="241" t="s">
        <v>2178</v>
      </c>
      <c r="X25" s="241" t="s">
        <v>2179</v>
      </c>
      <c r="Y25" s="242"/>
      <c r="Z25" s="242"/>
      <c r="AA25" s="242"/>
      <c r="AB25" s="242"/>
      <c r="AC25" s="242"/>
      <c r="AD25" s="242"/>
      <c r="AE25" s="242"/>
      <c r="AF25" s="242" t="s">
        <v>2180</v>
      </c>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row>
    <row r="26" spans="1:59" ht="15" outlineLevel="2">
      <c r="A26" s="243"/>
      <c r="B26" s="244"/>
      <c r="C26" s="601" t="s">
        <v>2196</v>
      </c>
      <c r="D26" s="602"/>
      <c r="E26" s="602"/>
      <c r="F26" s="602"/>
      <c r="G26" s="602"/>
      <c r="H26" s="241"/>
      <c r="I26" s="241"/>
      <c r="J26" s="241"/>
      <c r="K26" s="241"/>
      <c r="L26" s="241"/>
      <c r="M26" s="241"/>
      <c r="N26" s="245"/>
      <c r="O26" s="245"/>
      <c r="P26" s="245"/>
      <c r="Q26" s="245"/>
      <c r="R26" s="241"/>
      <c r="S26" s="241"/>
      <c r="T26" s="241"/>
      <c r="U26" s="241"/>
      <c r="V26" s="241"/>
      <c r="W26" s="241"/>
      <c r="X26" s="241"/>
      <c r="Y26" s="242"/>
      <c r="Z26" s="242"/>
      <c r="AA26" s="242"/>
      <c r="AB26" s="242"/>
      <c r="AC26" s="242"/>
      <c r="AD26" s="242"/>
      <c r="AE26" s="242"/>
      <c r="AF26" s="242" t="s">
        <v>2182</v>
      </c>
      <c r="AG26" s="242"/>
      <c r="AH26" s="242"/>
      <c r="AI26" s="242"/>
      <c r="AJ26" s="242"/>
      <c r="AK26" s="242"/>
      <c r="AL26" s="242"/>
      <c r="AM26" s="242"/>
      <c r="AN26" s="242"/>
      <c r="AO26" s="242"/>
      <c r="AP26" s="242"/>
      <c r="AQ26" s="242"/>
      <c r="AR26" s="242"/>
      <c r="AS26" s="242"/>
      <c r="AT26" s="242"/>
      <c r="AU26" s="242"/>
      <c r="AV26" s="242"/>
      <c r="AW26" s="242"/>
      <c r="AX26" s="242"/>
      <c r="AY26" s="242"/>
      <c r="AZ26" s="249" t="str">
        <f>C26</f>
        <v>s rozřezáním a odstraněním větví a kmene do vzdálenosti 20 m, se složením na hromady nebo s naložením na dopravní prostředek,</v>
      </c>
      <c r="BA26" s="242"/>
      <c r="BB26" s="242"/>
      <c r="BC26" s="242"/>
      <c r="BD26" s="242"/>
      <c r="BE26" s="242"/>
      <c r="BF26" s="242"/>
      <c r="BG26" s="242"/>
    </row>
    <row r="27" spans="1:59" ht="15" outlineLevel="2">
      <c r="A27" s="243"/>
      <c r="B27" s="244"/>
      <c r="C27" s="246" t="s">
        <v>2201</v>
      </c>
      <c r="D27" s="247"/>
      <c r="E27" s="248">
        <v>1</v>
      </c>
      <c r="F27" s="241"/>
      <c r="G27" s="241"/>
      <c r="H27" s="241"/>
      <c r="I27" s="241"/>
      <c r="J27" s="241"/>
      <c r="K27" s="241"/>
      <c r="L27" s="241"/>
      <c r="M27" s="241"/>
      <c r="N27" s="245"/>
      <c r="O27" s="245"/>
      <c r="P27" s="245"/>
      <c r="Q27" s="245"/>
      <c r="R27" s="241"/>
      <c r="S27" s="241"/>
      <c r="T27" s="241"/>
      <c r="U27" s="241"/>
      <c r="V27" s="241"/>
      <c r="W27" s="241"/>
      <c r="X27" s="241"/>
      <c r="Y27" s="242"/>
      <c r="Z27" s="242"/>
      <c r="AA27" s="242"/>
      <c r="AB27" s="242"/>
      <c r="AC27" s="242"/>
      <c r="AD27" s="242"/>
      <c r="AE27" s="242"/>
      <c r="AF27" s="242" t="s">
        <v>1418</v>
      </c>
      <c r="AG27" s="242">
        <v>0</v>
      </c>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row>
    <row r="28" spans="1:59" ht="15" outlineLevel="3">
      <c r="A28" s="243"/>
      <c r="B28" s="244"/>
      <c r="C28" s="246" t="s">
        <v>2202</v>
      </c>
      <c r="D28" s="247"/>
      <c r="E28" s="248">
        <v>13</v>
      </c>
      <c r="F28" s="241"/>
      <c r="G28" s="241"/>
      <c r="H28" s="241"/>
      <c r="I28" s="241"/>
      <c r="J28" s="241"/>
      <c r="K28" s="241"/>
      <c r="L28" s="241"/>
      <c r="M28" s="241"/>
      <c r="N28" s="245"/>
      <c r="O28" s="245"/>
      <c r="P28" s="245"/>
      <c r="Q28" s="245"/>
      <c r="R28" s="241"/>
      <c r="S28" s="241"/>
      <c r="T28" s="241"/>
      <c r="U28" s="241"/>
      <c r="V28" s="241"/>
      <c r="W28" s="241"/>
      <c r="X28" s="241"/>
      <c r="Y28" s="242"/>
      <c r="Z28" s="242"/>
      <c r="AA28" s="242"/>
      <c r="AB28" s="242"/>
      <c r="AC28" s="242"/>
      <c r="AD28" s="242"/>
      <c r="AE28" s="242"/>
      <c r="AF28" s="242" t="s">
        <v>1418</v>
      </c>
      <c r="AG28" s="242">
        <v>0</v>
      </c>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row>
    <row r="29" spans="1:59" ht="15" outlineLevel="1">
      <c r="A29" s="234">
        <v>6</v>
      </c>
      <c r="B29" s="235" t="s">
        <v>2203</v>
      </c>
      <c r="C29" s="236" t="s">
        <v>2204</v>
      </c>
      <c r="D29" s="237" t="s">
        <v>260</v>
      </c>
      <c r="E29" s="238">
        <v>2</v>
      </c>
      <c r="F29" s="239"/>
      <c r="G29" s="240">
        <f>ROUND(E29*F29,2)</f>
        <v>0</v>
      </c>
      <c r="H29" s="239">
        <v>0</v>
      </c>
      <c r="I29" s="240">
        <f>ROUND(E29*H29,2)</f>
        <v>0</v>
      </c>
      <c r="J29" s="239">
        <v>499.5</v>
      </c>
      <c r="K29" s="240">
        <f>ROUND(E29*J29,2)</f>
        <v>999</v>
      </c>
      <c r="L29" s="240">
        <v>21</v>
      </c>
      <c r="M29" s="240">
        <f>G29*(1+L29/100)</f>
        <v>0</v>
      </c>
      <c r="N29" s="238">
        <v>0</v>
      </c>
      <c r="O29" s="238">
        <f>ROUND(E29*N29,2)</f>
        <v>0</v>
      </c>
      <c r="P29" s="238">
        <v>0</v>
      </c>
      <c r="Q29" s="238">
        <f>ROUND(E29*P29,2)</f>
        <v>0</v>
      </c>
      <c r="R29" s="240" t="s">
        <v>2010</v>
      </c>
      <c r="S29" s="240" t="s">
        <v>2177</v>
      </c>
      <c r="T29" s="241">
        <v>0.9</v>
      </c>
      <c r="U29" s="241">
        <f>ROUND(E29*T29,2)</f>
        <v>1.8</v>
      </c>
      <c r="V29" s="241"/>
      <c r="W29" s="241" t="s">
        <v>2178</v>
      </c>
      <c r="X29" s="241" t="s">
        <v>2179</v>
      </c>
      <c r="Y29" s="242"/>
      <c r="Z29" s="242"/>
      <c r="AA29" s="242"/>
      <c r="AB29" s="242"/>
      <c r="AC29" s="242"/>
      <c r="AD29" s="242"/>
      <c r="AE29" s="242"/>
      <c r="AF29" s="242" t="s">
        <v>2180</v>
      </c>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row>
    <row r="30" spans="1:59" ht="15" outlineLevel="2">
      <c r="A30" s="243"/>
      <c r="B30" s="244"/>
      <c r="C30" s="601" t="s">
        <v>2196</v>
      </c>
      <c r="D30" s="602"/>
      <c r="E30" s="602"/>
      <c r="F30" s="602"/>
      <c r="G30" s="602"/>
      <c r="H30" s="241"/>
      <c r="I30" s="241"/>
      <c r="J30" s="241"/>
      <c r="K30" s="241"/>
      <c r="L30" s="241"/>
      <c r="M30" s="241"/>
      <c r="N30" s="245"/>
      <c r="O30" s="245"/>
      <c r="P30" s="245"/>
      <c r="Q30" s="245"/>
      <c r="R30" s="241"/>
      <c r="S30" s="241"/>
      <c r="T30" s="241"/>
      <c r="U30" s="241"/>
      <c r="V30" s="241"/>
      <c r="W30" s="241"/>
      <c r="X30" s="241"/>
      <c r="Y30" s="242"/>
      <c r="Z30" s="242"/>
      <c r="AA30" s="242"/>
      <c r="AB30" s="242"/>
      <c r="AC30" s="242"/>
      <c r="AD30" s="242"/>
      <c r="AE30" s="242"/>
      <c r="AF30" s="242" t="s">
        <v>2182</v>
      </c>
      <c r="AG30" s="242"/>
      <c r="AH30" s="242"/>
      <c r="AI30" s="242"/>
      <c r="AJ30" s="242"/>
      <c r="AK30" s="242"/>
      <c r="AL30" s="242"/>
      <c r="AM30" s="242"/>
      <c r="AN30" s="242"/>
      <c r="AO30" s="242"/>
      <c r="AP30" s="242"/>
      <c r="AQ30" s="242"/>
      <c r="AR30" s="242"/>
      <c r="AS30" s="242"/>
      <c r="AT30" s="242"/>
      <c r="AU30" s="242"/>
      <c r="AV30" s="242"/>
      <c r="AW30" s="242"/>
      <c r="AX30" s="242"/>
      <c r="AY30" s="242"/>
      <c r="AZ30" s="249" t="str">
        <f>C30</f>
        <v>s rozřezáním a odstraněním větví a kmene do vzdálenosti 20 m, se složením na hromady nebo s naložením na dopravní prostředek,</v>
      </c>
      <c r="BA30" s="242"/>
      <c r="BB30" s="242"/>
      <c r="BC30" s="242"/>
      <c r="BD30" s="242"/>
      <c r="BE30" s="242"/>
      <c r="BF30" s="242"/>
      <c r="BG30" s="242"/>
    </row>
    <row r="31" spans="1:59" ht="15" outlineLevel="2">
      <c r="A31" s="243"/>
      <c r="B31" s="244"/>
      <c r="C31" s="246" t="s">
        <v>2205</v>
      </c>
      <c r="D31" s="247"/>
      <c r="E31" s="248">
        <v>2</v>
      </c>
      <c r="F31" s="241"/>
      <c r="G31" s="241"/>
      <c r="H31" s="241"/>
      <c r="I31" s="241"/>
      <c r="J31" s="241"/>
      <c r="K31" s="241"/>
      <c r="L31" s="241"/>
      <c r="M31" s="241"/>
      <c r="N31" s="245"/>
      <c r="O31" s="245"/>
      <c r="P31" s="245"/>
      <c r="Q31" s="245"/>
      <c r="R31" s="241"/>
      <c r="S31" s="241"/>
      <c r="T31" s="241"/>
      <c r="U31" s="241"/>
      <c r="V31" s="241"/>
      <c r="W31" s="241"/>
      <c r="X31" s="241"/>
      <c r="Y31" s="242"/>
      <c r="Z31" s="242"/>
      <c r="AA31" s="242"/>
      <c r="AB31" s="242"/>
      <c r="AC31" s="242"/>
      <c r="AD31" s="242"/>
      <c r="AE31" s="242"/>
      <c r="AF31" s="242" t="s">
        <v>1418</v>
      </c>
      <c r="AG31" s="242">
        <v>0</v>
      </c>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row>
    <row r="32" spans="1:59" ht="15" outlineLevel="1">
      <c r="A32" s="234">
        <v>7</v>
      </c>
      <c r="B32" s="235" t="s">
        <v>2206</v>
      </c>
      <c r="C32" s="236" t="s">
        <v>2207</v>
      </c>
      <c r="D32" s="237" t="s">
        <v>260</v>
      </c>
      <c r="E32" s="238">
        <v>27</v>
      </c>
      <c r="F32" s="239"/>
      <c r="G32" s="240">
        <f>ROUND(E32*F32,2)</f>
        <v>0</v>
      </c>
      <c r="H32" s="239">
        <v>0</v>
      </c>
      <c r="I32" s="240">
        <f>ROUND(E32*H32,2)</f>
        <v>0</v>
      </c>
      <c r="J32" s="239">
        <v>1450</v>
      </c>
      <c r="K32" s="240">
        <f>ROUND(E32*J32,2)</f>
        <v>39150</v>
      </c>
      <c r="L32" s="240">
        <v>21</v>
      </c>
      <c r="M32" s="240">
        <f>G32*(1+L32/100)</f>
        <v>0</v>
      </c>
      <c r="N32" s="238">
        <v>0</v>
      </c>
      <c r="O32" s="238">
        <f>ROUND(E32*N32,2)</f>
        <v>0</v>
      </c>
      <c r="P32" s="238">
        <v>0</v>
      </c>
      <c r="Q32" s="238">
        <f>ROUND(E32*P32,2)</f>
        <v>0</v>
      </c>
      <c r="R32" s="240" t="s">
        <v>2010</v>
      </c>
      <c r="S32" s="240" t="s">
        <v>2177</v>
      </c>
      <c r="T32" s="241">
        <v>2.7</v>
      </c>
      <c r="U32" s="241">
        <f>ROUND(E32*T32,2)</f>
        <v>72.9</v>
      </c>
      <c r="V32" s="241"/>
      <c r="W32" s="241" t="s">
        <v>2178</v>
      </c>
      <c r="X32" s="241" t="s">
        <v>2179</v>
      </c>
      <c r="Y32" s="242"/>
      <c r="Z32" s="242"/>
      <c r="AA32" s="242"/>
      <c r="AB32" s="242"/>
      <c r="AC32" s="242"/>
      <c r="AD32" s="242"/>
      <c r="AE32" s="242"/>
      <c r="AF32" s="242" t="s">
        <v>2180</v>
      </c>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row>
    <row r="33" spans="1:59" ht="21" outlineLevel="2">
      <c r="A33" s="243"/>
      <c r="B33" s="244"/>
      <c r="C33" s="601" t="s">
        <v>2208</v>
      </c>
      <c r="D33" s="602"/>
      <c r="E33" s="602"/>
      <c r="F33" s="602"/>
      <c r="G33" s="602"/>
      <c r="H33" s="241"/>
      <c r="I33" s="241"/>
      <c r="J33" s="241"/>
      <c r="K33" s="241"/>
      <c r="L33" s="241"/>
      <c r="M33" s="241"/>
      <c r="N33" s="245"/>
      <c r="O33" s="245"/>
      <c r="P33" s="245"/>
      <c r="Q33" s="245"/>
      <c r="R33" s="241"/>
      <c r="S33" s="241"/>
      <c r="T33" s="241"/>
      <c r="U33" s="241"/>
      <c r="V33" s="241"/>
      <c r="W33" s="241"/>
      <c r="X33" s="241"/>
      <c r="Y33" s="242"/>
      <c r="Z33" s="242"/>
      <c r="AA33" s="242"/>
      <c r="AB33" s="242"/>
      <c r="AC33" s="242"/>
      <c r="AD33" s="242"/>
      <c r="AE33" s="242"/>
      <c r="AF33" s="242" t="s">
        <v>2182</v>
      </c>
      <c r="AG33" s="242"/>
      <c r="AH33" s="242"/>
      <c r="AI33" s="242"/>
      <c r="AJ33" s="242"/>
      <c r="AK33" s="242"/>
      <c r="AL33" s="242"/>
      <c r="AM33" s="242"/>
      <c r="AN33" s="242"/>
      <c r="AO33" s="242"/>
      <c r="AP33" s="242"/>
      <c r="AQ33" s="242"/>
      <c r="AR33" s="242"/>
      <c r="AS33" s="242"/>
      <c r="AT33" s="242"/>
      <c r="AU33" s="242"/>
      <c r="AV33" s="242"/>
      <c r="AW33" s="242"/>
      <c r="AX33" s="242"/>
      <c r="AY33" s="242"/>
      <c r="AZ33" s="249" t="str">
        <f>C33</f>
        <v>s odklizením získaného dřeva na vzdálenost do 20 m, se složením na hromady nebo s naložením na dopravní prostředek, se zasypáním jámy, doplněním zeminy, zhutněním a úpravou terénu,</v>
      </c>
      <c r="BA33" s="242"/>
      <c r="BB33" s="242"/>
      <c r="BC33" s="242"/>
      <c r="BD33" s="242"/>
      <c r="BE33" s="242"/>
      <c r="BF33" s="242"/>
      <c r="BG33" s="242"/>
    </row>
    <row r="34" spans="1:59" ht="15" outlineLevel="2">
      <c r="A34" s="243"/>
      <c r="B34" s="244"/>
      <c r="C34" s="246" t="s">
        <v>2205</v>
      </c>
      <c r="D34" s="247"/>
      <c r="E34" s="248">
        <v>2</v>
      </c>
      <c r="F34" s="241"/>
      <c r="G34" s="241"/>
      <c r="H34" s="241"/>
      <c r="I34" s="241"/>
      <c r="J34" s="241"/>
      <c r="K34" s="241"/>
      <c r="L34" s="241"/>
      <c r="M34" s="241"/>
      <c r="N34" s="245"/>
      <c r="O34" s="245"/>
      <c r="P34" s="245"/>
      <c r="Q34" s="245"/>
      <c r="R34" s="241"/>
      <c r="S34" s="241"/>
      <c r="T34" s="241"/>
      <c r="U34" s="241"/>
      <c r="V34" s="241"/>
      <c r="W34" s="241"/>
      <c r="X34" s="241"/>
      <c r="Y34" s="242"/>
      <c r="Z34" s="242"/>
      <c r="AA34" s="242"/>
      <c r="AB34" s="242"/>
      <c r="AC34" s="242"/>
      <c r="AD34" s="242"/>
      <c r="AE34" s="242"/>
      <c r="AF34" s="242" t="s">
        <v>1418</v>
      </c>
      <c r="AG34" s="242">
        <v>0</v>
      </c>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row>
    <row r="35" spans="1:59" ht="15" outlineLevel="3">
      <c r="A35" s="243"/>
      <c r="B35" s="244"/>
      <c r="C35" s="246" t="s">
        <v>2197</v>
      </c>
      <c r="D35" s="247"/>
      <c r="E35" s="248">
        <v>2</v>
      </c>
      <c r="F35" s="241"/>
      <c r="G35" s="241"/>
      <c r="H35" s="241"/>
      <c r="I35" s="241"/>
      <c r="J35" s="241"/>
      <c r="K35" s="241"/>
      <c r="L35" s="241"/>
      <c r="M35" s="241"/>
      <c r="N35" s="245"/>
      <c r="O35" s="245"/>
      <c r="P35" s="245"/>
      <c r="Q35" s="245"/>
      <c r="R35" s="241"/>
      <c r="S35" s="241"/>
      <c r="T35" s="241"/>
      <c r="U35" s="241"/>
      <c r="V35" s="241"/>
      <c r="W35" s="241"/>
      <c r="X35" s="241"/>
      <c r="Y35" s="242"/>
      <c r="Z35" s="242"/>
      <c r="AA35" s="242"/>
      <c r="AB35" s="242"/>
      <c r="AC35" s="242"/>
      <c r="AD35" s="242"/>
      <c r="AE35" s="242"/>
      <c r="AF35" s="242" t="s">
        <v>1418</v>
      </c>
      <c r="AG35" s="242">
        <v>0</v>
      </c>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row>
    <row r="36" spans="1:59" ht="15" outlineLevel="3">
      <c r="A36" s="243"/>
      <c r="B36" s="244"/>
      <c r="C36" s="246" t="s">
        <v>2198</v>
      </c>
      <c r="D36" s="247"/>
      <c r="E36" s="248">
        <v>23</v>
      </c>
      <c r="F36" s="241"/>
      <c r="G36" s="241"/>
      <c r="H36" s="241"/>
      <c r="I36" s="241"/>
      <c r="J36" s="241"/>
      <c r="K36" s="241"/>
      <c r="L36" s="241"/>
      <c r="M36" s="241"/>
      <c r="N36" s="245"/>
      <c r="O36" s="245"/>
      <c r="P36" s="245"/>
      <c r="Q36" s="245"/>
      <c r="R36" s="241"/>
      <c r="S36" s="241"/>
      <c r="T36" s="241"/>
      <c r="U36" s="241"/>
      <c r="V36" s="241"/>
      <c r="W36" s="241"/>
      <c r="X36" s="241"/>
      <c r="Y36" s="242"/>
      <c r="Z36" s="242"/>
      <c r="AA36" s="242"/>
      <c r="AB36" s="242"/>
      <c r="AC36" s="242"/>
      <c r="AD36" s="242"/>
      <c r="AE36" s="242"/>
      <c r="AF36" s="242" t="s">
        <v>1418</v>
      </c>
      <c r="AG36" s="242">
        <v>0</v>
      </c>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row>
    <row r="37" spans="1:59" ht="15" outlineLevel="1">
      <c r="A37" s="234">
        <v>8</v>
      </c>
      <c r="B37" s="235" t="s">
        <v>2209</v>
      </c>
      <c r="C37" s="236" t="s">
        <v>2210</v>
      </c>
      <c r="D37" s="237" t="s">
        <v>260</v>
      </c>
      <c r="E37" s="238">
        <v>14</v>
      </c>
      <c r="F37" s="239"/>
      <c r="G37" s="240">
        <f>ROUND(E37*F37,2)</f>
        <v>0</v>
      </c>
      <c r="H37" s="239">
        <v>0</v>
      </c>
      <c r="I37" s="240">
        <f>ROUND(E37*H37,2)</f>
        <v>0</v>
      </c>
      <c r="J37" s="239">
        <v>3415</v>
      </c>
      <c r="K37" s="240">
        <f>ROUND(E37*J37,2)</f>
        <v>47810</v>
      </c>
      <c r="L37" s="240">
        <v>21</v>
      </c>
      <c r="M37" s="240">
        <f>G37*(1+L37/100)</f>
        <v>0</v>
      </c>
      <c r="N37" s="238">
        <v>0</v>
      </c>
      <c r="O37" s="238">
        <f>ROUND(E37*N37,2)</f>
        <v>0</v>
      </c>
      <c r="P37" s="238">
        <v>0</v>
      </c>
      <c r="Q37" s="238">
        <f>ROUND(E37*P37,2)</f>
        <v>0</v>
      </c>
      <c r="R37" s="240" t="s">
        <v>2010</v>
      </c>
      <c r="S37" s="240" t="s">
        <v>2177</v>
      </c>
      <c r="T37" s="241">
        <v>5.25</v>
      </c>
      <c r="U37" s="241">
        <f>ROUND(E37*T37,2)</f>
        <v>73.5</v>
      </c>
      <c r="V37" s="241"/>
      <c r="W37" s="241" t="s">
        <v>2178</v>
      </c>
      <c r="X37" s="241" t="s">
        <v>2179</v>
      </c>
      <c r="Y37" s="242"/>
      <c r="Z37" s="242"/>
      <c r="AA37" s="242"/>
      <c r="AB37" s="242"/>
      <c r="AC37" s="242"/>
      <c r="AD37" s="242"/>
      <c r="AE37" s="242"/>
      <c r="AF37" s="242" t="s">
        <v>2180</v>
      </c>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row>
    <row r="38" spans="1:59" ht="21" outlineLevel="2">
      <c r="A38" s="243"/>
      <c r="B38" s="244"/>
      <c r="C38" s="601" t="s">
        <v>2208</v>
      </c>
      <c r="D38" s="602"/>
      <c r="E38" s="602"/>
      <c r="F38" s="602"/>
      <c r="G38" s="602"/>
      <c r="H38" s="241"/>
      <c r="I38" s="241"/>
      <c r="J38" s="241"/>
      <c r="K38" s="241"/>
      <c r="L38" s="241"/>
      <c r="M38" s="241"/>
      <c r="N38" s="245"/>
      <c r="O38" s="245"/>
      <c r="P38" s="245"/>
      <c r="Q38" s="245"/>
      <c r="R38" s="241"/>
      <c r="S38" s="241"/>
      <c r="T38" s="241"/>
      <c r="U38" s="241"/>
      <c r="V38" s="241"/>
      <c r="W38" s="241"/>
      <c r="X38" s="241"/>
      <c r="Y38" s="242"/>
      <c r="Z38" s="242"/>
      <c r="AA38" s="242"/>
      <c r="AB38" s="242"/>
      <c r="AC38" s="242"/>
      <c r="AD38" s="242"/>
      <c r="AE38" s="242"/>
      <c r="AF38" s="242" t="s">
        <v>2182</v>
      </c>
      <c r="AG38" s="242"/>
      <c r="AH38" s="242"/>
      <c r="AI38" s="242"/>
      <c r="AJ38" s="242"/>
      <c r="AK38" s="242"/>
      <c r="AL38" s="242"/>
      <c r="AM38" s="242"/>
      <c r="AN38" s="242"/>
      <c r="AO38" s="242"/>
      <c r="AP38" s="242"/>
      <c r="AQ38" s="242"/>
      <c r="AR38" s="242"/>
      <c r="AS38" s="242"/>
      <c r="AT38" s="242"/>
      <c r="AU38" s="242"/>
      <c r="AV38" s="242"/>
      <c r="AW38" s="242"/>
      <c r="AX38" s="242"/>
      <c r="AY38" s="242"/>
      <c r="AZ38" s="249" t="str">
        <f>C38</f>
        <v>s odklizením získaného dřeva na vzdálenost do 20 m, se složením na hromady nebo s naložením na dopravní prostředek, se zasypáním jámy, doplněním zeminy, zhutněním a úpravou terénu,</v>
      </c>
      <c r="BA38" s="242"/>
      <c r="BB38" s="242"/>
      <c r="BC38" s="242"/>
      <c r="BD38" s="242"/>
      <c r="BE38" s="242"/>
      <c r="BF38" s="242"/>
      <c r="BG38" s="242"/>
    </row>
    <row r="39" spans="1:59" ht="15" outlineLevel="2">
      <c r="A39" s="243"/>
      <c r="B39" s="244"/>
      <c r="C39" s="246" t="s">
        <v>2201</v>
      </c>
      <c r="D39" s="247"/>
      <c r="E39" s="248">
        <v>1</v>
      </c>
      <c r="F39" s="241"/>
      <c r="G39" s="241"/>
      <c r="H39" s="241"/>
      <c r="I39" s="241"/>
      <c r="J39" s="241"/>
      <c r="K39" s="241"/>
      <c r="L39" s="241"/>
      <c r="M39" s="241"/>
      <c r="N39" s="245"/>
      <c r="O39" s="245"/>
      <c r="P39" s="245"/>
      <c r="Q39" s="245"/>
      <c r="R39" s="241"/>
      <c r="S39" s="241"/>
      <c r="T39" s="241"/>
      <c r="U39" s="241"/>
      <c r="V39" s="241"/>
      <c r="W39" s="241"/>
      <c r="X39" s="241"/>
      <c r="Y39" s="242"/>
      <c r="Z39" s="242"/>
      <c r="AA39" s="242"/>
      <c r="AB39" s="242"/>
      <c r="AC39" s="242"/>
      <c r="AD39" s="242"/>
      <c r="AE39" s="242"/>
      <c r="AF39" s="242" t="s">
        <v>1418</v>
      </c>
      <c r="AG39" s="242">
        <v>0</v>
      </c>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row>
    <row r="40" spans="1:59" ht="15" outlineLevel="3">
      <c r="A40" s="243"/>
      <c r="B40" s="244"/>
      <c r="C40" s="246" t="s">
        <v>2202</v>
      </c>
      <c r="D40" s="247"/>
      <c r="E40" s="248">
        <v>13</v>
      </c>
      <c r="F40" s="241"/>
      <c r="G40" s="241"/>
      <c r="H40" s="241"/>
      <c r="I40" s="241"/>
      <c r="J40" s="241"/>
      <c r="K40" s="241"/>
      <c r="L40" s="241"/>
      <c r="M40" s="241"/>
      <c r="N40" s="245"/>
      <c r="O40" s="245"/>
      <c r="P40" s="245"/>
      <c r="Q40" s="245"/>
      <c r="R40" s="241"/>
      <c r="S40" s="241"/>
      <c r="T40" s="241"/>
      <c r="U40" s="241"/>
      <c r="V40" s="241"/>
      <c r="W40" s="241"/>
      <c r="X40" s="241"/>
      <c r="Y40" s="242"/>
      <c r="Z40" s="242"/>
      <c r="AA40" s="242"/>
      <c r="AB40" s="242"/>
      <c r="AC40" s="242"/>
      <c r="AD40" s="242"/>
      <c r="AE40" s="242"/>
      <c r="AF40" s="242" t="s">
        <v>1418</v>
      </c>
      <c r="AG40" s="242">
        <v>0</v>
      </c>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row>
    <row r="41" spans="1:59" ht="20.4" outlineLevel="1">
      <c r="A41" s="234">
        <v>9</v>
      </c>
      <c r="B41" s="235" t="s">
        <v>2211</v>
      </c>
      <c r="C41" s="236" t="s">
        <v>2212</v>
      </c>
      <c r="D41" s="237" t="s">
        <v>260</v>
      </c>
      <c r="E41" s="238">
        <v>25</v>
      </c>
      <c r="F41" s="239"/>
      <c r="G41" s="240">
        <f>ROUND(E41*F41,2)</f>
        <v>0</v>
      </c>
      <c r="H41" s="239">
        <v>0</v>
      </c>
      <c r="I41" s="240">
        <f>ROUND(E41*H41,2)</f>
        <v>0</v>
      </c>
      <c r="J41" s="239">
        <v>39.8</v>
      </c>
      <c r="K41" s="240">
        <f>ROUND(E41*J41,2)</f>
        <v>995</v>
      </c>
      <c r="L41" s="240">
        <v>21</v>
      </c>
      <c r="M41" s="240">
        <f>G41*(1+L41/100)</f>
        <v>0</v>
      </c>
      <c r="N41" s="238">
        <v>0</v>
      </c>
      <c r="O41" s="238">
        <f>ROUND(E41*N41,2)</f>
        <v>0</v>
      </c>
      <c r="P41" s="238">
        <v>0</v>
      </c>
      <c r="Q41" s="238">
        <f>ROUND(E41*P41,2)</f>
        <v>0</v>
      </c>
      <c r="R41" s="240" t="s">
        <v>1999</v>
      </c>
      <c r="S41" s="240" t="s">
        <v>2177</v>
      </c>
      <c r="T41" s="241">
        <v>0.05</v>
      </c>
      <c r="U41" s="241">
        <f>ROUND(E41*T41,2)</f>
        <v>1.25</v>
      </c>
      <c r="V41" s="241"/>
      <c r="W41" s="241" t="s">
        <v>2178</v>
      </c>
      <c r="X41" s="241" t="s">
        <v>2179</v>
      </c>
      <c r="Y41" s="242"/>
      <c r="Z41" s="242"/>
      <c r="AA41" s="242"/>
      <c r="AB41" s="242"/>
      <c r="AC41" s="242"/>
      <c r="AD41" s="242"/>
      <c r="AE41" s="242"/>
      <c r="AF41" s="242" t="s">
        <v>2180</v>
      </c>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row>
    <row r="42" spans="1:59" ht="15" outlineLevel="2">
      <c r="A42" s="243"/>
      <c r="B42" s="244"/>
      <c r="C42" s="601" t="s">
        <v>2213</v>
      </c>
      <c r="D42" s="602"/>
      <c r="E42" s="602"/>
      <c r="F42" s="602"/>
      <c r="G42" s="602"/>
      <c r="H42" s="241"/>
      <c r="I42" s="241"/>
      <c r="J42" s="241"/>
      <c r="K42" s="241"/>
      <c r="L42" s="241"/>
      <c r="M42" s="241"/>
      <c r="N42" s="245"/>
      <c r="O42" s="245"/>
      <c r="P42" s="245"/>
      <c r="Q42" s="245"/>
      <c r="R42" s="241"/>
      <c r="S42" s="241"/>
      <c r="T42" s="241"/>
      <c r="U42" s="241"/>
      <c r="V42" s="241"/>
      <c r="W42" s="241"/>
      <c r="X42" s="241"/>
      <c r="Y42" s="242"/>
      <c r="Z42" s="242"/>
      <c r="AA42" s="242"/>
      <c r="AB42" s="242"/>
      <c r="AC42" s="242"/>
      <c r="AD42" s="242"/>
      <c r="AE42" s="242"/>
      <c r="AF42" s="242" t="s">
        <v>2182</v>
      </c>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row>
    <row r="43" spans="1:59" ht="15" outlineLevel="2">
      <c r="A43" s="243"/>
      <c r="B43" s="244"/>
      <c r="C43" s="246" t="s">
        <v>2197</v>
      </c>
      <c r="D43" s="247"/>
      <c r="E43" s="248">
        <v>2</v>
      </c>
      <c r="F43" s="241"/>
      <c r="G43" s="241"/>
      <c r="H43" s="241"/>
      <c r="I43" s="241"/>
      <c r="J43" s="241"/>
      <c r="K43" s="241"/>
      <c r="L43" s="241"/>
      <c r="M43" s="241"/>
      <c r="N43" s="245"/>
      <c r="O43" s="245"/>
      <c r="P43" s="245"/>
      <c r="Q43" s="245"/>
      <c r="R43" s="241"/>
      <c r="S43" s="241"/>
      <c r="T43" s="241"/>
      <c r="U43" s="241"/>
      <c r="V43" s="241"/>
      <c r="W43" s="241"/>
      <c r="X43" s="241"/>
      <c r="Y43" s="242"/>
      <c r="Z43" s="242"/>
      <c r="AA43" s="242"/>
      <c r="AB43" s="242"/>
      <c r="AC43" s="242"/>
      <c r="AD43" s="242"/>
      <c r="AE43" s="242"/>
      <c r="AF43" s="242" t="s">
        <v>1418</v>
      </c>
      <c r="AG43" s="242">
        <v>0</v>
      </c>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row>
    <row r="44" spans="1:59" ht="15" outlineLevel="3">
      <c r="A44" s="243"/>
      <c r="B44" s="244"/>
      <c r="C44" s="246" t="s">
        <v>2198</v>
      </c>
      <c r="D44" s="247"/>
      <c r="E44" s="248">
        <v>23</v>
      </c>
      <c r="F44" s="241"/>
      <c r="G44" s="241"/>
      <c r="H44" s="241"/>
      <c r="I44" s="241"/>
      <c r="J44" s="241"/>
      <c r="K44" s="241"/>
      <c r="L44" s="241"/>
      <c r="M44" s="241"/>
      <c r="N44" s="245"/>
      <c r="O44" s="245"/>
      <c r="P44" s="245"/>
      <c r="Q44" s="245"/>
      <c r="R44" s="241"/>
      <c r="S44" s="241"/>
      <c r="T44" s="241"/>
      <c r="U44" s="241"/>
      <c r="V44" s="241"/>
      <c r="W44" s="241"/>
      <c r="X44" s="241"/>
      <c r="Y44" s="242"/>
      <c r="Z44" s="242"/>
      <c r="AA44" s="242"/>
      <c r="AB44" s="242"/>
      <c r="AC44" s="242"/>
      <c r="AD44" s="242"/>
      <c r="AE44" s="242"/>
      <c r="AF44" s="242" t="s">
        <v>1418</v>
      </c>
      <c r="AG44" s="242">
        <v>0</v>
      </c>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row>
    <row r="45" spans="1:59" ht="20.4" outlineLevel="1">
      <c r="A45" s="234">
        <v>10</v>
      </c>
      <c r="B45" s="235" t="s">
        <v>2214</v>
      </c>
      <c r="C45" s="236" t="s">
        <v>2215</v>
      </c>
      <c r="D45" s="237" t="s">
        <v>260</v>
      </c>
      <c r="E45" s="238">
        <v>14</v>
      </c>
      <c r="F45" s="239"/>
      <c r="G45" s="240">
        <f>ROUND(E45*F45,2)</f>
        <v>0</v>
      </c>
      <c r="H45" s="239">
        <v>0</v>
      </c>
      <c r="I45" s="240">
        <f>ROUND(E45*H45,2)</f>
        <v>0</v>
      </c>
      <c r="J45" s="239">
        <v>217.5</v>
      </c>
      <c r="K45" s="240">
        <f>ROUND(E45*J45,2)</f>
        <v>3045</v>
      </c>
      <c r="L45" s="240">
        <v>21</v>
      </c>
      <c r="M45" s="240">
        <f>G45*(1+L45/100)</f>
        <v>0</v>
      </c>
      <c r="N45" s="238">
        <v>0</v>
      </c>
      <c r="O45" s="238">
        <f>ROUND(E45*N45,2)</f>
        <v>0</v>
      </c>
      <c r="P45" s="238">
        <v>0</v>
      </c>
      <c r="Q45" s="238">
        <f>ROUND(E45*P45,2)</f>
        <v>0</v>
      </c>
      <c r="R45" s="240" t="s">
        <v>1999</v>
      </c>
      <c r="S45" s="240" t="s">
        <v>2177</v>
      </c>
      <c r="T45" s="241">
        <v>0.25</v>
      </c>
      <c r="U45" s="241">
        <f>ROUND(E45*T45,2)</f>
        <v>3.5</v>
      </c>
      <c r="V45" s="241"/>
      <c r="W45" s="241" t="s">
        <v>2178</v>
      </c>
      <c r="X45" s="241" t="s">
        <v>2179</v>
      </c>
      <c r="Y45" s="242"/>
      <c r="Z45" s="242"/>
      <c r="AA45" s="242"/>
      <c r="AB45" s="242"/>
      <c r="AC45" s="242"/>
      <c r="AD45" s="242"/>
      <c r="AE45" s="242"/>
      <c r="AF45" s="242" t="s">
        <v>2180</v>
      </c>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row>
    <row r="46" spans="1:59" ht="15" outlineLevel="2">
      <c r="A46" s="243"/>
      <c r="B46" s="244"/>
      <c r="C46" s="601" t="s">
        <v>2213</v>
      </c>
      <c r="D46" s="602"/>
      <c r="E46" s="602"/>
      <c r="F46" s="602"/>
      <c r="G46" s="602"/>
      <c r="H46" s="241"/>
      <c r="I46" s="241"/>
      <c r="J46" s="241"/>
      <c r="K46" s="241"/>
      <c r="L46" s="241"/>
      <c r="M46" s="241"/>
      <c r="N46" s="245"/>
      <c r="O46" s="245"/>
      <c r="P46" s="245"/>
      <c r="Q46" s="245"/>
      <c r="R46" s="241"/>
      <c r="S46" s="241"/>
      <c r="T46" s="241"/>
      <c r="U46" s="241"/>
      <c r="V46" s="241"/>
      <c r="W46" s="241"/>
      <c r="X46" s="241"/>
      <c r="Y46" s="242"/>
      <c r="Z46" s="242"/>
      <c r="AA46" s="242"/>
      <c r="AB46" s="242"/>
      <c r="AC46" s="242"/>
      <c r="AD46" s="242"/>
      <c r="AE46" s="242"/>
      <c r="AF46" s="242" t="s">
        <v>2182</v>
      </c>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row>
    <row r="47" spans="1:59" ht="15" outlineLevel="2">
      <c r="A47" s="243"/>
      <c r="B47" s="244"/>
      <c r="C47" s="246" t="s">
        <v>2201</v>
      </c>
      <c r="D47" s="247"/>
      <c r="E47" s="248">
        <v>1</v>
      </c>
      <c r="F47" s="241"/>
      <c r="G47" s="241"/>
      <c r="H47" s="241"/>
      <c r="I47" s="241"/>
      <c r="J47" s="241"/>
      <c r="K47" s="241"/>
      <c r="L47" s="241"/>
      <c r="M47" s="241"/>
      <c r="N47" s="245"/>
      <c r="O47" s="245"/>
      <c r="P47" s="245"/>
      <c r="Q47" s="245"/>
      <c r="R47" s="241"/>
      <c r="S47" s="241"/>
      <c r="T47" s="241"/>
      <c r="U47" s="241"/>
      <c r="V47" s="241"/>
      <c r="W47" s="241"/>
      <c r="X47" s="241"/>
      <c r="Y47" s="242"/>
      <c r="Z47" s="242"/>
      <c r="AA47" s="242"/>
      <c r="AB47" s="242"/>
      <c r="AC47" s="242"/>
      <c r="AD47" s="242"/>
      <c r="AE47" s="242"/>
      <c r="AF47" s="242" t="s">
        <v>1418</v>
      </c>
      <c r="AG47" s="242">
        <v>0</v>
      </c>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row>
    <row r="48" spans="1:59" ht="15" outlineLevel="3">
      <c r="A48" s="243"/>
      <c r="B48" s="244"/>
      <c r="C48" s="246" t="s">
        <v>2202</v>
      </c>
      <c r="D48" s="247"/>
      <c r="E48" s="248">
        <v>13</v>
      </c>
      <c r="F48" s="241"/>
      <c r="G48" s="241"/>
      <c r="H48" s="241"/>
      <c r="I48" s="241"/>
      <c r="J48" s="241"/>
      <c r="K48" s="241"/>
      <c r="L48" s="241"/>
      <c r="M48" s="241"/>
      <c r="N48" s="245"/>
      <c r="O48" s="245"/>
      <c r="P48" s="245"/>
      <c r="Q48" s="245"/>
      <c r="R48" s="241"/>
      <c r="S48" s="241"/>
      <c r="T48" s="241"/>
      <c r="U48" s="241"/>
      <c r="V48" s="241"/>
      <c r="W48" s="241"/>
      <c r="X48" s="241"/>
      <c r="Y48" s="242"/>
      <c r="Z48" s="242"/>
      <c r="AA48" s="242"/>
      <c r="AB48" s="242"/>
      <c r="AC48" s="242"/>
      <c r="AD48" s="242"/>
      <c r="AE48" s="242"/>
      <c r="AF48" s="242" t="s">
        <v>1418</v>
      </c>
      <c r="AG48" s="242">
        <v>0</v>
      </c>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row>
    <row r="49" spans="1:59" ht="20.4" outlineLevel="1">
      <c r="A49" s="234">
        <v>11</v>
      </c>
      <c r="B49" s="235" t="s">
        <v>2216</v>
      </c>
      <c r="C49" s="236" t="s">
        <v>2217</v>
      </c>
      <c r="D49" s="237" t="s">
        <v>260</v>
      </c>
      <c r="E49" s="238">
        <v>2</v>
      </c>
      <c r="F49" s="239"/>
      <c r="G49" s="240">
        <f>ROUND(E49*F49,2)</f>
        <v>0</v>
      </c>
      <c r="H49" s="239">
        <v>0</v>
      </c>
      <c r="I49" s="240">
        <f>ROUND(E49*H49,2)</f>
        <v>0</v>
      </c>
      <c r="J49" s="239">
        <v>50.1</v>
      </c>
      <c r="K49" s="240">
        <f>ROUND(E49*J49,2)</f>
        <v>100.2</v>
      </c>
      <c r="L49" s="240">
        <v>21</v>
      </c>
      <c r="M49" s="240">
        <f>G49*(1+L49/100)</f>
        <v>0</v>
      </c>
      <c r="N49" s="238">
        <v>0</v>
      </c>
      <c r="O49" s="238">
        <f>ROUND(E49*N49,2)</f>
        <v>0</v>
      </c>
      <c r="P49" s="238">
        <v>0</v>
      </c>
      <c r="Q49" s="238">
        <f>ROUND(E49*P49,2)</f>
        <v>0</v>
      </c>
      <c r="R49" s="240" t="s">
        <v>1999</v>
      </c>
      <c r="S49" s="240" t="s">
        <v>2177</v>
      </c>
      <c r="T49" s="241">
        <v>0.06</v>
      </c>
      <c r="U49" s="241">
        <f>ROUND(E49*T49,2)</f>
        <v>0.12</v>
      </c>
      <c r="V49" s="241"/>
      <c r="W49" s="241" t="s">
        <v>2178</v>
      </c>
      <c r="X49" s="241" t="s">
        <v>2179</v>
      </c>
      <c r="Y49" s="242"/>
      <c r="Z49" s="242"/>
      <c r="AA49" s="242"/>
      <c r="AB49" s="242"/>
      <c r="AC49" s="242"/>
      <c r="AD49" s="242"/>
      <c r="AE49" s="242"/>
      <c r="AF49" s="242" t="s">
        <v>2180</v>
      </c>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row>
    <row r="50" spans="1:59" ht="15" outlineLevel="2">
      <c r="A50" s="243"/>
      <c r="B50" s="244"/>
      <c r="C50" s="601" t="s">
        <v>2213</v>
      </c>
      <c r="D50" s="602"/>
      <c r="E50" s="602"/>
      <c r="F50" s="602"/>
      <c r="G50" s="602"/>
      <c r="H50" s="241"/>
      <c r="I50" s="241"/>
      <c r="J50" s="241"/>
      <c r="K50" s="241"/>
      <c r="L50" s="241"/>
      <c r="M50" s="241"/>
      <c r="N50" s="245"/>
      <c r="O50" s="245"/>
      <c r="P50" s="245"/>
      <c r="Q50" s="245"/>
      <c r="R50" s="241"/>
      <c r="S50" s="241"/>
      <c r="T50" s="241"/>
      <c r="U50" s="241"/>
      <c r="V50" s="241"/>
      <c r="W50" s="241"/>
      <c r="X50" s="241"/>
      <c r="Y50" s="242"/>
      <c r="Z50" s="242"/>
      <c r="AA50" s="242"/>
      <c r="AB50" s="242"/>
      <c r="AC50" s="242"/>
      <c r="AD50" s="242"/>
      <c r="AE50" s="242"/>
      <c r="AF50" s="242" t="s">
        <v>2182</v>
      </c>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row>
    <row r="51" spans="1:59" ht="15" outlineLevel="2">
      <c r="A51" s="243"/>
      <c r="B51" s="244"/>
      <c r="C51" s="246" t="s">
        <v>2205</v>
      </c>
      <c r="D51" s="247"/>
      <c r="E51" s="248">
        <v>2</v>
      </c>
      <c r="F51" s="241"/>
      <c r="G51" s="241"/>
      <c r="H51" s="241"/>
      <c r="I51" s="241"/>
      <c r="J51" s="241"/>
      <c r="K51" s="241"/>
      <c r="L51" s="241"/>
      <c r="M51" s="241"/>
      <c r="N51" s="245"/>
      <c r="O51" s="245"/>
      <c r="P51" s="245"/>
      <c r="Q51" s="245"/>
      <c r="R51" s="241"/>
      <c r="S51" s="241"/>
      <c r="T51" s="241"/>
      <c r="U51" s="241"/>
      <c r="V51" s="241"/>
      <c r="W51" s="241"/>
      <c r="X51" s="241"/>
      <c r="Y51" s="242"/>
      <c r="Z51" s="242"/>
      <c r="AA51" s="242"/>
      <c r="AB51" s="242"/>
      <c r="AC51" s="242"/>
      <c r="AD51" s="242"/>
      <c r="AE51" s="242"/>
      <c r="AF51" s="242" t="s">
        <v>1418</v>
      </c>
      <c r="AG51" s="242">
        <v>0</v>
      </c>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row>
    <row r="52" spans="1:59" ht="20.4" outlineLevel="1">
      <c r="A52" s="234">
        <v>12</v>
      </c>
      <c r="B52" s="235" t="s">
        <v>2218</v>
      </c>
      <c r="C52" s="236" t="s">
        <v>2219</v>
      </c>
      <c r="D52" s="237" t="s">
        <v>260</v>
      </c>
      <c r="E52" s="238">
        <v>25</v>
      </c>
      <c r="F52" s="239"/>
      <c r="G52" s="240">
        <f>ROUND(E52*F52,2)</f>
        <v>0</v>
      </c>
      <c r="H52" s="239">
        <v>0</v>
      </c>
      <c r="I52" s="240">
        <f>ROUND(E52*H52,2)</f>
        <v>0</v>
      </c>
      <c r="J52" s="239">
        <v>650</v>
      </c>
      <c r="K52" s="240">
        <f>ROUND(E52*J52,2)</f>
        <v>16250</v>
      </c>
      <c r="L52" s="240">
        <v>21</v>
      </c>
      <c r="M52" s="240">
        <f>G52*(1+L52/100)</f>
        <v>0</v>
      </c>
      <c r="N52" s="238">
        <v>0</v>
      </c>
      <c r="O52" s="238">
        <f>ROUND(E52*N52,2)</f>
        <v>0</v>
      </c>
      <c r="P52" s="238">
        <v>0</v>
      </c>
      <c r="Q52" s="238">
        <f>ROUND(E52*P52,2)</f>
        <v>0</v>
      </c>
      <c r="R52" s="240" t="s">
        <v>1999</v>
      </c>
      <c r="S52" s="240" t="s">
        <v>2177</v>
      </c>
      <c r="T52" s="241">
        <v>0.57</v>
      </c>
      <c r="U52" s="241">
        <f>ROUND(E52*T52,2)</f>
        <v>14.25</v>
      </c>
      <c r="V52" s="241"/>
      <c r="W52" s="241" t="s">
        <v>2178</v>
      </c>
      <c r="X52" s="241" t="s">
        <v>2179</v>
      </c>
      <c r="Y52" s="242"/>
      <c r="Z52" s="242"/>
      <c r="AA52" s="242"/>
      <c r="AB52" s="242"/>
      <c r="AC52" s="242"/>
      <c r="AD52" s="242"/>
      <c r="AE52" s="242"/>
      <c r="AF52" s="242" t="s">
        <v>2180</v>
      </c>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row>
    <row r="53" spans="1:59" ht="15" outlineLevel="2">
      <c r="A53" s="243"/>
      <c r="B53" s="244"/>
      <c r="C53" s="601" t="s">
        <v>2213</v>
      </c>
      <c r="D53" s="602"/>
      <c r="E53" s="602"/>
      <c r="F53" s="602"/>
      <c r="G53" s="602"/>
      <c r="H53" s="241"/>
      <c r="I53" s="241"/>
      <c r="J53" s="241"/>
      <c r="K53" s="241"/>
      <c r="L53" s="241"/>
      <c r="M53" s="241"/>
      <c r="N53" s="245"/>
      <c r="O53" s="245"/>
      <c r="P53" s="245"/>
      <c r="Q53" s="245"/>
      <c r="R53" s="241"/>
      <c r="S53" s="241"/>
      <c r="T53" s="241"/>
      <c r="U53" s="241"/>
      <c r="V53" s="241"/>
      <c r="W53" s="241"/>
      <c r="X53" s="241"/>
      <c r="Y53" s="242"/>
      <c r="Z53" s="242"/>
      <c r="AA53" s="242"/>
      <c r="AB53" s="242"/>
      <c r="AC53" s="242"/>
      <c r="AD53" s="242"/>
      <c r="AE53" s="242"/>
      <c r="AF53" s="242" t="s">
        <v>2182</v>
      </c>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row>
    <row r="54" spans="1:59" ht="15" outlineLevel="2">
      <c r="A54" s="243"/>
      <c r="B54" s="244"/>
      <c r="C54" s="246" t="s">
        <v>2197</v>
      </c>
      <c r="D54" s="247"/>
      <c r="E54" s="248">
        <v>2</v>
      </c>
      <c r="F54" s="241"/>
      <c r="G54" s="241"/>
      <c r="H54" s="241"/>
      <c r="I54" s="241"/>
      <c r="J54" s="241"/>
      <c r="K54" s="241"/>
      <c r="L54" s="241"/>
      <c r="M54" s="241"/>
      <c r="N54" s="245"/>
      <c r="O54" s="245"/>
      <c r="P54" s="245"/>
      <c r="Q54" s="245"/>
      <c r="R54" s="241"/>
      <c r="S54" s="241"/>
      <c r="T54" s="241"/>
      <c r="U54" s="241"/>
      <c r="V54" s="241"/>
      <c r="W54" s="241"/>
      <c r="X54" s="241"/>
      <c r="Y54" s="242"/>
      <c r="Z54" s="242"/>
      <c r="AA54" s="242"/>
      <c r="AB54" s="242"/>
      <c r="AC54" s="242"/>
      <c r="AD54" s="242"/>
      <c r="AE54" s="242"/>
      <c r="AF54" s="242" t="s">
        <v>1418</v>
      </c>
      <c r="AG54" s="242">
        <v>0</v>
      </c>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row>
    <row r="55" spans="1:59" ht="15" outlineLevel="3">
      <c r="A55" s="243"/>
      <c r="B55" s="244"/>
      <c r="C55" s="246" t="s">
        <v>2198</v>
      </c>
      <c r="D55" s="247"/>
      <c r="E55" s="248">
        <v>23</v>
      </c>
      <c r="F55" s="241"/>
      <c r="G55" s="241"/>
      <c r="H55" s="241"/>
      <c r="I55" s="241"/>
      <c r="J55" s="241"/>
      <c r="K55" s="241"/>
      <c r="L55" s="241"/>
      <c r="M55" s="241"/>
      <c r="N55" s="245"/>
      <c r="O55" s="245"/>
      <c r="P55" s="245"/>
      <c r="Q55" s="245"/>
      <c r="R55" s="241"/>
      <c r="S55" s="241"/>
      <c r="T55" s="241"/>
      <c r="U55" s="241"/>
      <c r="V55" s="241"/>
      <c r="W55" s="241"/>
      <c r="X55" s="241"/>
      <c r="Y55" s="242"/>
      <c r="Z55" s="242"/>
      <c r="AA55" s="242"/>
      <c r="AB55" s="242"/>
      <c r="AC55" s="242"/>
      <c r="AD55" s="242"/>
      <c r="AE55" s="242"/>
      <c r="AF55" s="242" t="s">
        <v>1418</v>
      </c>
      <c r="AG55" s="242">
        <v>0</v>
      </c>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row>
    <row r="56" spans="1:59" ht="20.4" outlineLevel="1">
      <c r="A56" s="234">
        <v>13</v>
      </c>
      <c r="B56" s="235" t="s">
        <v>2220</v>
      </c>
      <c r="C56" s="236" t="s">
        <v>2221</v>
      </c>
      <c r="D56" s="237" t="s">
        <v>260</v>
      </c>
      <c r="E56" s="238">
        <v>14</v>
      </c>
      <c r="F56" s="239"/>
      <c r="G56" s="240">
        <f>ROUND(E56*F56,2)</f>
        <v>0</v>
      </c>
      <c r="H56" s="239">
        <v>0</v>
      </c>
      <c r="I56" s="240">
        <f>ROUND(E56*H56,2)</f>
        <v>0</v>
      </c>
      <c r="J56" s="239">
        <v>1389</v>
      </c>
      <c r="K56" s="240">
        <f>ROUND(E56*J56,2)</f>
        <v>19446</v>
      </c>
      <c r="L56" s="240">
        <v>21</v>
      </c>
      <c r="M56" s="240">
        <f>G56*(1+L56/100)</f>
        <v>0</v>
      </c>
      <c r="N56" s="238">
        <v>0</v>
      </c>
      <c r="O56" s="238">
        <f>ROUND(E56*N56,2)</f>
        <v>0</v>
      </c>
      <c r="P56" s="238">
        <v>0</v>
      </c>
      <c r="Q56" s="238">
        <f>ROUND(E56*P56,2)</f>
        <v>0</v>
      </c>
      <c r="R56" s="240" t="s">
        <v>1999</v>
      </c>
      <c r="S56" s="240" t="s">
        <v>2177</v>
      </c>
      <c r="T56" s="241">
        <v>0.96</v>
      </c>
      <c r="U56" s="241">
        <f>ROUND(E56*T56,2)</f>
        <v>13.44</v>
      </c>
      <c r="V56" s="241"/>
      <c r="W56" s="241" t="s">
        <v>2178</v>
      </c>
      <c r="X56" s="241" t="s">
        <v>2179</v>
      </c>
      <c r="Y56" s="242"/>
      <c r="Z56" s="242"/>
      <c r="AA56" s="242"/>
      <c r="AB56" s="242"/>
      <c r="AC56" s="242"/>
      <c r="AD56" s="242"/>
      <c r="AE56" s="242"/>
      <c r="AF56" s="242" t="s">
        <v>2180</v>
      </c>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row>
    <row r="57" spans="1:59" ht="15" outlineLevel="2">
      <c r="A57" s="243"/>
      <c r="B57" s="244"/>
      <c r="C57" s="601" t="s">
        <v>2213</v>
      </c>
      <c r="D57" s="602"/>
      <c r="E57" s="602"/>
      <c r="F57" s="602"/>
      <c r="G57" s="602"/>
      <c r="H57" s="241"/>
      <c r="I57" s="241"/>
      <c r="J57" s="241"/>
      <c r="K57" s="241"/>
      <c r="L57" s="241"/>
      <c r="M57" s="241"/>
      <c r="N57" s="245"/>
      <c r="O57" s="245"/>
      <c r="P57" s="245"/>
      <c r="Q57" s="245"/>
      <c r="R57" s="241"/>
      <c r="S57" s="241"/>
      <c r="T57" s="241"/>
      <c r="U57" s="241"/>
      <c r="V57" s="241"/>
      <c r="W57" s="241"/>
      <c r="X57" s="241"/>
      <c r="Y57" s="242"/>
      <c r="Z57" s="242"/>
      <c r="AA57" s="242"/>
      <c r="AB57" s="242"/>
      <c r="AC57" s="242"/>
      <c r="AD57" s="242"/>
      <c r="AE57" s="242"/>
      <c r="AF57" s="242" t="s">
        <v>2182</v>
      </c>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row>
    <row r="58" spans="1:59" ht="15" outlineLevel="2">
      <c r="A58" s="243"/>
      <c r="B58" s="244"/>
      <c r="C58" s="246" t="s">
        <v>2201</v>
      </c>
      <c r="D58" s="247"/>
      <c r="E58" s="248">
        <v>1</v>
      </c>
      <c r="F58" s="241"/>
      <c r="G58" s="241"/>
      <c r="H58" s="241"/>
      <c r="I58" s="241"/>
      <c r="J58" s="241"/>
      <c r="K58" s="241"/>
      <c r="L58" s="241"/>
      <c r="M58" s="241"/>
      <c r="N58" s="245"/>
      <c r="O58" s="245"/>
      <c r="P58" s="245"/>
      <c r="Q58" s="245"/>
      <c r="R58" s="241"/>
      <c r="S58" s="241"/>
      <c r="T58" s="241"/>
      <c r="U58" s="241"/>
      <c r="V58" s="241"/>
      <c r="W58" s="241"/>
      <c r="X58" s="241"/>
      <c r="Y58" s="242"/>
      <c r="Z58" s="242"/>
      <c r="AA58" s="242"/>
      <c r="AB58" s="242"/>
      <c r="AC58" s="242"/>
      <c r="AD58" s="242"/>
      <c r="AE58" s="242"/>
      <c r="AF58" s="242" t="s">
        <v>1418</v>
      </c>
      <c r="AG58" s="242">
        <v>0</v>
      </c>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row>
    <row r="59" spans="1:59" ht="15" outlineLevel="3">
      <c r="A59" s="243"/>
      <c r="B59" s="244"/>
      <c r="C59" s="246" t="s">
        <v>2202</v>
      </c>
      <c r="D59" s="247"/>
      <c r="E59" s="248">
        <v>13</v>
      </c>
      <c r="F59" s="241"/>
      <c r="G59" s="241"/>
      <c r="H59" s="241"/>
      <c r="I59" s="241"/>
      <c r="J59" s="241"/>
      <c r="K59" s="241"/>
      <c r="L59" s="241"/>
      <c r="M59" s="241"/>
      <c r="N59" s="245"/>
      <c r="O59" s="245"/>
      <c r="P59" s="245"/>
      <c r="Q59" s="245"/>
      <c r="R59" s="241"/>
      <c r="S59" s="241"/>
      <c r="T59" s="241"/>
      <c r="U59" s="241"/>
      <c r="V59" s="241"/>
      <c r="W59" s="241"/>
      <c r="X59" s="241"/>
      <c r="Y59" s="242"/>
      <c r="Z59" s="242"/>
      <c r="AA59" s="242"/>
      <c r="AB59" s="242"/>
      <c r="AC59" s="242"/>
      <c r="AD59" s="242"/>
      <c r="AE59" s="242"/>
      <c r="AF59" s="242" t="s">
        <v>1418</v>
      </c>
      <c r="AG59" s="242">
        <v>0</v>
      </c>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row>
    <row r="60" spans="1:59" ht="20.4" outlineLevel="1">
      <c r="A60" s="234">
        <v>14</v>
      </c>
      <c r="B60" s="235" t="s">
        <v>2222</v>
      </c>
      <c r="C60" s="236" t="s">
        <v>2223</v>
      </c>
      <c r="D60" s="237" t="s">
        <v>260</v>
      </c>
      <c r="E60" s="238">
        <v>2</v>
      </c>
      <c r="F60" s="239"/>
      <c r="G60" s="240">
        <f>ROUND(E60*F60,2)</f>
        <v>0</v>
      </c>
      <c r="H60" s="239">
        <v>0</v>
      </c>
      <c r="I60" s="240">
        <f>ROUND(E60*H60,2)</f>
        <v>0</v>
      </c>
      <c r="J60" s="239">
        <v>615</v>
      </c>
      <c r="K60" s="240">
        <f>ROUND(E60*J60,2)</f>
        <v>1230</v>
      </c>
      <c r="L60" s="240">
        <v>21</v>
      </c>
      <c r="M60" s="240">
        <f>G60*(1+L60/100)</f>
        <v>0</v>
      </c>
      <c r="N60" s="238">
        <v>0</v>
      </c>
      <c r="O60" s="238">
        <f>ROUND(E60*N60,2)</f>
        <v>0</v>
      </c>
      <c r="P60" s="238">
        <v>0</v>
      </c>
      <c r="Q60" s="238">
        <f>ROUND(E60*P60,2)</f>
        <v>0</v>
      </c>
      <c r="R60" s="240" t="s">
        <v>1999</v>
      </c>
      <c r="S60" s="240" t="s">
        <v>2177</v>
      </c>
      <c r="T60" s="241">
        <v>0.52</v>
      </c>
      <c r="U60" s="241">
        <f>ROUND(E60*T60,2)</f>
        <v>1.04</v>
      </c>
      <c r="V60" s="241"/>
      <c r="W60" s="241" t="s">
        <v>2178</v>
      </c>
      <c r="X60" s="241" t="s">
        <v>2179</v>
      </c>
      <c r="Y60" s="242"/>
      <c r="Z60" s="242"/>
      <c r="AA60" s="242"/>
      <c r="AB60" s="242"/>
      <c r="AC60" s="242"/>
      <c r="AD60" s="242"/>
      <c r="AE60" s="242"/>
      <c r="AF60" s="242" t="s">
        <v>2180</v>
      </c>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row>
    <row r="61" spans="1:59" ht="15" outlineLevel="2">
      <c r="A61" s="243"/>
      <c r="B61" s="244"/>
      <c r="C61" s="601" t="s">
        <v>2213</v>
      </c>
      <c r="D61" s="602"/>
      <c r="E61" s="602"/>
      <c r="F61" s="602"/>
      <c r="G61" s="602"/>
      <c r="H61" s="241"/>
      <c r="I61" s="241"/>
      <c r="J61" s="241"/>
      <c r="K61" s="241"/>
      <c r="L61" s="241"/>
      <c r="M61" s="241"/>
      <c r="N61" s="245"/>
      <c r="O61" s="245"/>
      <c r="P61" s="245"/>
      <c r="Q61" s="245"/>
      <c r="R61" s="241"/>
      <c r="S61" s="241"/>
      <c r="T61" s="241"/>
      <c r="U61" s="241"/>
      <c r="V61" s="241"/>
      <c r="W61" s="241"/>
      <c r="X61" s="241"/>
      <c r="Y61" s="242"/>
      <c r="Z61" s="242"/>
      <c r="AA61" s="242"/>
      <c r="AB61" s="242"/>
      <c r="AC61" s="242"/>
      <c r="AD61" s="242"/>
      <c r="AE61" s="242"/>
      <c r="AF61" s="242" t="s">
        <v>2182</v>
      </c>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row>
    <row r="62" spans="1:59" ht="15" outlineLevel="2">
      <c r="A62" s="243"/>
      <c r="B62" s="244"/>
      <c r="C62" s="246" t="s">
        <v>2205</v>
      </c>
      <c r="D62" s="247"/>
      <c r="E62" s="248">
        <v>2</v>
      </c>
      <c r="F62" s="241"/>
      <c r="G62" s="241"/>
      <c r="H62" s="241"/>
      <c r="I62" s="241"/>
      <c r="J62" s="241"/>
      <c r="K62" s="241"/>
      <c r="L62" s="241"/>
      <c r="M62" s="241"/>
      <c r="N62" s="245"/>
      <c r="O62" s="245"/>
      <c r="P62" s="245"/>
      <c r="Q62" s="245"/>
      <c r="R62" s="241"/>
      <c r="S62" s="241"/>
      <c r="T62" s="241"/>
      <c r="U62" s="241"/>
      <c r="V62" s="241"/>
      <c r="W62" s="241"/>
      <c r="X62" s="241"/>
      <c r="Y62" s="242"/>
      <c r="Z62" s="242"/>
      <c r="AA62" s="242"/>
      <c r="AB62" s="242"/>
      <c r="AC62" s="242"/>
      <c r="AD62" s="242"/>
      <c r="AE62" s="242"/>
      <c r="AF62" s="242" t="s">
        <v>1418</v>
      </c>
      <c r="AG62" s="242">
        <v>0</v>
      </c>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row>
    <row r="63" spans="1:59" ht="20.4" outlineLevel="1">
      <c r="A63" s="234">
        <v>15</v>
      </c>
      <c r="B63" s="235" t="s">
        <v>2224</v>
      </c>
      <c r="C63" s="236" t="s">
        <v>2225</v>
      </c>
      <c r="D63" s="237" t="s">
        <v>260</v>
      </c>
      <c r="E63" s="238">
        <v>27</v>
      </c>
      <c r="F63" s="239"/>
      <c r="G63" s="240">
        <f>ROUND(E63*F63,2)</f>
        <v>0</v>
      </c>
      <c r="H63" s="239">
        <v>0</v>
      </c>
      <c r="I63" s="240">
        <f>ROUND(E63*H63,2)</f>
        <v>0</v>
      </c>
      <c r="J63" s="239">
        <v>150.5</v>
      </c>
      <c r="K63" s="240">
        <f>ROUND(E63*J63,2)</f>
        <v>4063.5</v>
      </c>
      <c r="L63" s="240">
        <v>21</v>
      </c>
      <c r="M63" s="240">
        <f>G63*(1+L63/100)</f>
        <v>0</v>
      </c>
      <c r="N63" s="238">
        <v>0</v>
      </c>
      <c r="O63" s="238">
        <f>ROUND(E63*N63,2)</f>
        <v>0</v>
      </c>
      <c r="P63" s="238">
        <v>0</v>
      </c>
      <c r="Q63" s="238">
        <f>ROUND(E63*P63,2)</f>
        <v>0</v>
      </c>
      <c r="R63" s="240" t="s">
        <v>1999</v>
      </c>
      <c r="S63" s="240" t="s">
        <v>2177</v>
      </c>
      <c r="T63" s="241">
        <v>0.07</v>
      </c>
      <c r="U63" s="241">
        <f>ROUND(E63*T63,2)</f>
        <v>1.89</v>
      </c>
      <c r="V63" s="241"/>
      <c r="W63" s="241" t="s">
        <v>2178</v>
      </c>
      <c r="X63" s="241" t="s">
        <v>2179</v>
      </c>
      <c r="Y63" s="242"/>
      <c r="Z63" s="242"/>
      <c r="AA63" s="242"/>
      <c r="AB63" s="242"/>
      <c r="AC63" s="242"/>
      <c r="AD63" s="242"/>
      <c r="AE63" s="242"/>
      <c r="AF63" s="242" t="s">
        <v>2180</v>
      </c>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row>
    <row r="64" spans="1:59" ht="15" outlineLevel="2">
      <c r="A64" s="243"/>
      <c r="B64" s="244"/>
      <c r="C64" s="601" t="s">
        <v>2213</v>
      </c>
      <c r="D64" s="602"/>
      <c r="E64" s="602"/>
      <c r="F64" s="602"/>
      <c r="G64" s="602"/>
      <c r="H64" s="241"/>
      <c r="I64" s="241"/>
      <c r="J64" s="241"/>
      <c r="K64" s="241"/>
      <c r="L64" s="241"/>
      <c r="M64" s="241"/>
      <c r="N64" s="245"/>
      <c r="O64" s="245"/>
      <c r="P64" s="245"/>
      <c r="Q64" s="245"/>
      <c r="R64" s="241"/>
      <c r="S64" s="241"/>
      <c r="T64" s="241"/>
      <c r="U64" s="241"/>
      <c r="V64" s="241"/>
      <c r="W64" s="241"/>
      <c r="X64" s="241"/>
      <c r="Y64" s="242"/>
      <c r="Z64" s="242"/>
      <c r="AA64" s="242"/>
      <c r="AB64" s="242"/>
      <c r="AC64" s="242"/>
      <c r="AD64" s="242"/>
      <c r="AE64" s="242"/>
      <c r="AF64" s="242" t="s">
        <v>2182</v>
      </c>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row>
    <row r="65" spans="1:59" ht="15" outlineLevel="2">
      <c r="A65" s="243"/>
      <c r="B65" s="244"/>
      <c r="C65" s="246" t="s">
        <v>2205</v>
      </c>
      <c r="D65" s="247"/>
      <c r="E65" s="248">
        <v>2</v>
      </c>
      <c r="F65" s="241"/>
      <c r="G65" s="241"/>
      <c r="H65" s="241"/>
      <c r="I65" s="241"/>
      <c r="J65" s="241"/>
      <c r="K65" s="241"/>
      <c r="L65" s="241"/>
      <c r="M65" s="241"/>
      <c r="N65" s="245"/>
      <c r="O65" s="245"/>
      <c r="P65" s="245"/>
      <c r="Q65" s="245"/>
      <c r="R65" s="241"/>
      <c r="S65" s="241"/>
      <c r="T65" s="241"/>
      <c r="U65" s="241"/>
      <c r="V65" s="241"/>
      <c r="W65" s="241"/>
      <c r="X65" s="241"/>
      <c r="Y65" s="242"/>
      <c r="Z65" s="242"/>
      <c r="AA65" s="242"/>
      <c r="AB65" s="242"/>
      <c r="AC65" s="242"/>
      <c r="AD65" s="242"/>
      <c r="AE65" s="242"/>
      <c r="AF65" s="242" t="s">
        <v>1418</v>
      </c>
      <c r="AG65" s="242">
        <v>0</v>
      </c>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row>
    <row r="66" spans="1:59" ht="15" outlineLevel="3">
      <c r="A66" s="243"/>
      <c r="B66" s="244"/>
      <c r="C66" s="246" t="s">
        <v>2197</v>
      </c>
      <c r="D66" s="247"/>
      <c r="E66" s="248">
        <v>2</v>
      </c>
      <c r="F66" s="241"/>
      <c r="G66" s="241"/>
      <c r="H66" s="241"/>
      <c r="I66" s="241"/>
      <c r="J66" s="241"/>
      <c r="K66" s="241"/>
      <c r="L66" s="241"/>
      <c r="M66" s="241"/>
      <c r="N66" s="245"/>
      <c r="O66" s="245"/>
      <c r="P66" s="245"/>
      <c r="Q66" s="245"/>
      <c r="R66" s="241"/>
      <c r="S66" s="241"/>
      <c r="T66" s="241"/>
      <c r="U66" s="241"/>
      <c r="V66" s="241"/>
      <c r="W66" s="241"/>
      <c r="X66" s="241"/>
      <c r="Y66" s="242"/>
      <c r="Z66" s="242"/>
      <c r="AA66" s="242"/>
      <c r="AB66" s="242"/>
      <c r="AC66" s="242"/>
      <c r="AD66" s="242"/>
      <c r="AE66" s="242"/>
      <c r="AF66" s="242" t="s">
        <v>1418</v>
      </c>
      <c r="AG66" s="242">
        <v>0</v>
      </c>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row>
    <row r="67" spans="1:59" ht="15" outlineLevel="3">
      <c r="A67" s="243"/>
      <c r="B67" s="244"/>
      <c r="C67" s="246" t="s">
        <v>2198</v>
      </c>
      <c r="D67" s="247"/>
      <c r="E67" s="248">
        <v>23</v>
      </c>
      <c r="F67" s="241"/>
      <c r="G67" s="241"/>
      <c r="H67" s="241"/>
      <c r="I67" s="241"/>
      <c r="J67" s="241"/>
      <c r="K67" s="241"/>
      <c r="L67" s="241"/>
      <c r="M67" s="241"/>
      <c r="N67" s="245"/>
      <c r="O67" s="245"/>
      <c r="P67" s="245"/>
      <c r="Q67" s="245"/>
      <c r="R67" s="241"/>
      <c r="S67" s="241"/>
      <c r="T67" s="241"/>
      <c r="U67" s="241"/>
      <c r="V67" s="241"/>
      <c r="W67" s="241"/>
      <c r="X67" s="241"/>
      <c r="Y67" s="242"/>
      <c r="Z67" s="242"/>
      <c r="AA67" s="242"/>
      <c r="AB67" s="242"/>
      <c r="AC67" s="242"/>
      <c r="AD67" s="242"/>
      <c r="AE67" s="242"/>
      <c r="AF67" s="242" t="s">
        <v>1418</v>
      </c>
      <c r="AG67" s="242">
        <v>0</v>
      </c>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row>
    <row r="68" spans="1:59" ht="20.4" outlineLevel="1">
      <c r="A68" s="234">
        <v>16</v>
      </c>
      <c r="B68" s="235" t="s">
        <v>2226</v>
      </c>
      <c r="C68" s="236" t="s">
        <v>2227</v>
      </c>
      <c r="D68" s="237" t="s">
        <v>260</v>
      </c>
      <c r="E68" s="238">
        <v>14</v>
      </c>
      <c r="F68" s="239"/>
      <c r="G68" s="240">
        <f>ROUND(E68*F68,2)</f>
        <v>0</v>
      </c>
      <c r="H68" s="239">
        <v>0</v>
      </c>
      <c r="I68" s="240">
        <f>ROUND(E68*H68,2)</f>
        <v>0</v>
      </c>
      <c r="J68" s="239">
        <v>553</v>
      </c>
      <c r="K68" s="240">
        <f>ROUND(E68*J68,2)</f>
        <v>7742</v>
      </c>
      <c r="L68" s="240">
        <v>21</v>
      </c>
      <c r="M68" s="240">
        <f>G68*(1+L68/100)</f>
        <v>0</v>
      </c>
      <c r="N68" s="238">
        <v>0</v>
      </c>
      <c r="O68" s="238">
        <f>ROUND(E68*N68,2)</f>
        <v>0</v>
      </c>
      <c r="P68" s="238">
        <v>0</v>
      </c>
      <c r="Q68" s="238">
        <f>ROUND(E68*P68,2)</f>
        <v>0</v>
      </c>
      <c r="R68" s="240" t="s">
        <v>1999</v>
      </c>
      <c r="S68" s="240" t="s">
        <v>2177</v>
      </c>
      <c r="T68" s="241">
        <v>0.3</v>
      </c>
      <c r="U68" s="241">
        <f>ROUND(E68*T68,2)</f>
        <v>4.2</v>
      </c>
      <c r="V68" s="241"/>
      <c r="W68" s="241" t="s">
        <v>2178</v>
      </c>
      <c r="X68" s="241" t="s">
        <v>2179</v>
      </c>
      <c r="Y68" s="242"/>
      <c r="Z68" s="242"/>
      <c r="AA68" s="242"/>
      <c r="AB68" s="242"/>
      <c r="AC68" s="242"/>
      <c r="AD68" s="242"/>
      <c r="AE68" s="242"/>
      <c r="AF68" s="242" t="s">
        <v>2180</v>
      </c>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row>
    <row r="69" spans="1:59" ht="15" outlineLevel="2">
      <c r="A69" s="243"/>
      <c r="B69" s="244"/>
      <c r="C69" s="601" t="s">
        <v>2213</v>
      </c>
      <c r="D69" s="602"/>
      <c r="E69" s="602"/>
      <c r="F69" s="602"/>
      <c r="G69" s="602"/>
      <c r="H69" s="241"/>
      <c r="I69" s="241"/>
      <c r="J69" s="241"/>
      <c r="K69" s="241"/>
      <c r="L69" s="241"/>
      <c r="M69" s="241"/>
      <c r="N69" s="245"/>
      <c r="O69" s="245"/>
      <c r="P69" s="245"/>
      <c r="Q69" s="245"/>
      <c r="R69" s="241"/>
      <c r="S69" s="241"/>
      <c r="T69" s="241"/>
      <c r="U69" s="241"/>
      <c r="V69" s="241"/>
      <c r="W69" s="241"/>
      <c r="X69" s="241"/>
      <c r="Y69" s="242"/>
      <c r="Z69" s="242"/>
      <c r="AA69" s="242"/>
      <c r="AB69" s="242"/>
      <c r="AC69" s="242"/>
      <c r="AD69" s="242"/>
      <c r="AE69" s="242"/>
      <c r="AF69" s="242" t="s">
        <v>2182</v>
      </c>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row>
    <row r="70" spans="1:59" ht="15" outlineLevel="2">
      <c r="A70" s="243"/>
      <c r="B70" s="244"/>
      <c r="C70" s="246" t="s">
        <v>2201</v>
      </c>
      <c r="D70" s="247"/>
      <c r="E70" s="248">
        <v>1</v>
      </c>
      <c r="F70" s="241"/>
      <c r="G70" s="241"/>
      <c r="H70" s="241"/>
      <c r="I70" s="241"/>
      <c r="J70" s="241"/>
      <c r="K70" s="241"/>
      <c r="L70" s="241"/>
      <c r="M70" s="241"/>
      <c r="N70" s="245"/>
      <c r="O70" s="245"/>
      <c r="P70" s="245"/>
      <c r="Q70" s="245"/>
      <c r="R70" s="241"/>
      <c r="S70" s="241"/>
      <c r="T70" s="241"/>
      <c r="U70" s="241"/>
      <c r="V70" s="241"/>
      <c r="W70" s="241"/>
      <c r="X70" s="241"/>
      <c r="Y70" s="242"/>
      <c r="Z70" s="242"/>
      <c r="AA70" s="242"/>
      <c r="AB70" s="242"/>
      <c r="AC70" s="242"/>
      <c r="AD70" s="242"/>
      <c r="AE70" s="242"/>
      <c r="AF70" s="242" t="s">
        <v>1418</v>
      </c>
      <c r="AG70" s="242">
        <v>0</v>
      </c>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row>
    <row r="71" spans="1:59" ht="15" outlineLevel="3">
      <c r="A71" s="243"/>
      <c r="B71" s="244"/>
      <c r="C71" s="246" t="s">
        <v>2202</v>
      </c>
      <c r="D71" s="247"/>
      <c r="E71" s="248">
        <v>13</v>
      </c>
      <c r="F71" s="241"/>
      <c r="G71" s="241"/>
      <c r="H71" s="241"/>
      <c r="I71" s="241"/>
      <c r="J71" s="241"/>
      <c r="K71" s="241"/>
      <c r="L71" s="241"/>
      <c r="M71" s="241"/>
      <c r="N71" s="245"/>
      <c r="O71" s="245"/>
      <c r="P71" s="245"/>
      <c r="Q71" s="245"/>
      <c r="R71" s="241"/>
      <c r="S71" s="241"/>
      <c r="T71" s="241"/>
      <c r="U71" s="241"/>
      <c r="V71" s="241"/>
      <c r="W71" s="241"/>
      <c r="X71" s="241"/>
      <c r="Y71" s="242"/>
      <c r="Z71" s="242"/>
      <c r="AA71" s="242"/>
      <c r="AB71" s="242"/>
      <c r="AC71" s="242"/>
      <c r="AD71" s="242"/>
      <c r="AE71" s="242"/>
      <c r="AF71" s="242" t="s">
        <v>1418</v>
      </c>
      <c r="AG71" s="242">
        <v>0</v>
      </c>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row>
    <row r="72" spans="1:59" ht="30.6" outlineLevel="1">
      <c r="A72" s="234">
        <v>17</v>
      </c>
      <c r="B72" s="235" t="s">
        <v>2228</v>
      </c>
      <c r="C72" s="236" t="s">
        <v>2229</v>
      </c>
      <c r="D72" s="237" t="s">
        <v>260</v>
      </c>
      <c r="E72" s="238">
        <v>25</v>
      </c>
      <c r="F72" s="239"/>
      <c r="G72" s="240">
        <f>ROUND(E72*F72,2)</f>
        <v>0</v>
      </c>
      <c r="H72" s="239">
        <v>0</v>
      </c>
      <c r="I72" s="240">
        <f>ROUND(E72*H72,2)</f>
        <v>0</v>
      </c>
      <c r="J72" s="239">
        <v>8</v>
      </c>
      <c r="K72" s="240">
        <f>ROUND(E72*J72,2)</f>
        <v>200</v>
      </c>
      <c r="L72" s="240">
        <v>21</v>
      </c>
      <c r="M72" s="240">
        <f>G72*(1+L72/100)</f>
        <v>0</v>
      </c>
      <c r="N72" s="238">
        <v>0</v>
      </c>
      <c r="O72" s="238">
        <f>ROUND(E72*N72,2)</f>
        <v>0</v>
      </c>
      <c r="P72" s="238">
        <v>0</v>
      </c>
      <c r="Q72" s="238">
        <f>ROUND(E72*P72,2)</f>
        <v>0</v>
      </c>
      <c r="R72" s="240" t="s">
        <v>1999</v>
      </c>
      <c r="S72" s="240" t="s">
        <v>2177</v>
      </c>
      <c r="T72" s="241">
        <v>0</v>
      </c>
      <c r="U72" s="241">
        <f>ROUND(E72*T72,2)</f>
        <v>0</v>
      </c>
      <c r="V72" s="241"/>
      <c r="W72" s="241" t="s">
        <v>2178</v>
      </c>
      <c r="X72" s="241" t="s">
        <v>2179</v>
      </c>
      <c r="Y72" s="242"/>
      <c r="Z72" s="242"/>
      <c r="AA72" s="242"/>
      <c r="AB72" s="242"/>
      <c r="AC72" s="242"/>
      <c r="AD72" s="242"/>
      <c r="AE72" s="242"/>
      <c r="AF72" s="242" t="s">
        <v>2180</v>
      </c>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row>
    <row r="73" spans="1:59" ht="15" outlineLevel="2">
      <c r="A73" s="243"/>
      <c r="B73" s="244"/>
      <c r="C73" s="601" t="s">
        <v>2213</v>
      </c>
      <c r="D73" s="602"/>
      <c r="E73" s="602"/>
      <c r="F73" s="602"/>
      <c r="G73" s="602"/>
      <c r="H73" s="241"/>
      <c r="I73" s="241"/>
      <c r="J73" s="241"/>
      <c r="K73" s="241"/>
      <c r="L73" s="241"/>
      <c r="M73" s="241"/>
      <c r="N73" s="245"/>
      <c r="O73" s="245"/>
      <c r="P73" s="245"/>
      <c r="Q73" s="245"/>
      <c r="R73" s="241"/>
      <c r="S73" s="241"/>
      <c r="T73" s="241"/>
      <c r="U73" s="241"/>
      <c r="V73" s="241"/>
      <c r="W73" s="241"/>
      <c r="X73" s="241"/>
      <c r="Y73" s="242"/>
      <c r="Z73" s="242"/>
      <c r="AA73" s="242"/>
      <c r="AB73" s="242"/>
      <c r="AC73" s="242"/>
      <c r="AD73" s="242"/>
      <c r="AE73" s="242"/>
      <c r="AF73" s="242" t="s">
        <v>2182</v>
      </c>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row>
    <row r="74" spans="1:59" ht="15" outlineLevel="2">
      <c r="A74" s="243"/>
      <c r="B74" s="244"/>
      <c r="C74" s="246" t="s">
        <v>2197</v>
      </c>
      <c r="D74" s="247"/>
      <c r="E74" s="248">
        <v>2</v>
      </c>
      <c r="F74" s="241"/>
      <c r="G74" s="241"/>
      <c r="H74" s="241"/>
      <c r="I74" s="241"/>
      <c r="J74" s="241"/>
      <c r="K74" s="241"/>
      <c r="L74" s="241"/>
      <c r="M74" s="241"/>
      <c r="N74" s="245"/>
      <c r="O74" s="245"/>
      <c r="P74" s="245"/>
      <c r="Q74" s="245"/>
      <c r="R74" s="241"/>
      <c r="S74" s="241"/>
      <c r="T74" s="241"/>
      <c r="U74" s="241"/>
      <c r="V74" s="241"/>
      <c r="W74" s="241"/>
      <c r="X74" s="241"/>
      <c r="Y74" s="242"/>
      <c r="Z74" s="242"/>
      <c r="AA74" s="242"/>
      <c r="AB74" s="242"/>
      <c r="AC74" s="242"/>
      <c r="AD74" s="242"/>
      <c r="AE74" s="242"/>
      <c r="AF74" s="242" t="s">
        <v>1418</v>
      </c>
      <c r="AG74" s="242">
        <v>0</v>
      </c>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row>
    <row r="75" spans="1:59" ht="15" outlineLevel="3">
      <c r="A75" s="243"/>
      <c r="B75" s="244"/>
      <c r="C75" s="246" t="s">
        <v>2198</v>
      </c>
      <c r="D75" s="247"/>
      <c r="E75" s="248">
        <v>23</v>
      </c>
      <c r="F75" s="241"/>
      <c r="G75" s="241"/>
      <c r="H75" s="241"/>
      <c r="I75" s="241"/>
      <c r="J75" s="241"/>
      <c r="K75" s="241"/>
      <c r="L75" s="241"/>
      <c r="M75" s="241"/>
      <c r="N75" s="245"/>
      <c r="O75" s="245"/>
      <c r="P75" s="245"/>
      <c r="Q75" s="245"/>
      <c r="R75" s="241"/>
      <c r="S75" s="241"/>
      <c r="T75" s="241"/>
      <c r="U75" s="241"/>
      <c r="V75" s="241"/>
      <c r="W75" s="241"/>
      <c r="X75" s="241"/>
      <c r="Y75" s="242"/>
      <c r="Z75" s="242"/>
      <c r="AA75" s="242"/>
      <c r="AB75" s="242"/>
      <c r="AC75" s="242"/>
      <c r="AD75" s="242"/>
      <c r="AE75" s="242"/>
      <c r="AF75" s="242" t="s">
        <v>1418</v>
      </c>
      <c r="AG75" s="242">
        <v>0</v>
      </c>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row>
    <row r="76" spans="1:59" ht="30.6" outlineLevel="1">
      <c r="A76" s="234">
        <v>18</v>
      </c>
      <c r="B76" s="235" t="s">
        <v>2230</v>
      </c>
      <c r="C76" s="236" t="s">
        <v>2231</v>
      </c>
      <c r="D76" s="237" t="s">
        <v>260</v>
      </c>
      <c r="E76" s="238">
        <v>14</v>
      </c>
      <c r="F76" s="239"/>
      <c r="G76" s="240">
        <f>ROUND(E76*F76,2)</f>
        <v>0</v>
      </c>
      <c r="H76" s="239">
        <v>0</v>
      </c>
      <c r="I76" s="240">
        <f>ROUND(E76*H76,2)</f>
        <v>0</v>
      </c>
      <c r="J76" s="239">
        <v>35.3</v>
      </c>
      <c r="K76" s="240">
        <f>ROUND(E76*J76,2)</f>
        <v>494.2</v>
      </c>
      <c r="L76" s="240">
        <v>21</v>
      </c>
      <c r="M76" s="240">
        <f>G76*(1+L76/100)</f>
        <v>0</v>
      </c>
      <c r="N76" s="238">
        <v>0</v>
      </c>
      <c r="O76" s="238">
        <f>ROUND(E76*N76,2)</f>
        <v>0</v>
      </c>
      <c r="P76" s="238">
        <v>0</v>
      </c>
      <c r="Q76" s="238">
        <f>ROUND(E76*P76,2)</f>
        <v>0</v>
      </c>
      <c r="R76" s="240" t="s">
        <v>1999</v>
      </c>
      <c r="S76" s="240" t="s">
        <v>2177</v>
      </c>
      <c r="T76" s="241">
        <v>0</v>
      </c>
      <c r="U76" s="241">
        <f>ROUND(E76*T76,2)</f>
        <v>0</v>
      </c>
      <c r="V76" s="241"/>
      <c r="W76" s="241" t="s">
        <v>2178</v>
      </c>
      <c r="X76" s="241" t="s">
        <v>2179</v>
      </c>
      <c r="Y76" s="242"/>
      <c r="Z76" s="242"/>
      <c r="AA76" s="242"/>
      <c r="AB76" s="242"/>
      <c r="AC76" s="242"/>
      <c r="AD76" s="242"/>
      <c r="AE76" s="242"/>
      <c r="AF76" s="242" t="s">
        <v>2180</v>
      </c>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row>
    <row r="77" spans="1:59" ht="15" outlineLevel="2">
      <c r="A77" s="243"/>
      <c r="B77" s="244"/>
      <c r="C77" s="601" t="s">
        <v>2213</v>
      </c>
      <c r="D77" s="602"/>
      <c r="E77" s="602"/>
      <c r="F77" s="602"/>
      <c r="G77" s="602"/>
      <c r="H77" s="241"/>
      <c r="I77" s="241"/>
      <c r="J77" s="241"/>
      <c r="K77" s="241"/>
      <c r="L77" s="241"/>
      <c r="M77" s="241"/>
      <c r="N77" s="245"/>
      <c r="O77" s="245"/>
      <c r="P77" s="245"/>
      <c r="Q77" s="245"/>
      <c r="R77" s="241"/>
      <c r="S77" s="241"/>
      <c r="T77" s="241"/>
      <c r="U77" s="241"/>
      <c r="V77" s="241"/>
      <c r="W77" s="241"/>
      <c r="X77" s="241"/>
      <c r="Y77" s="242"/>
      <c r="Z77" s="242"/>
      <c r="AA77" s="242"/>
      <c r="AB77" s="242"/>
      <c r="AC77" s="242"/>
      <c r="AD77" s="242"/>
      <c r="AE77" s="242"/>
      <c r="AF77" s="242" t="s">
        <v>2182</v>
      </c>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row>
    <row r="78" spans="1:59" ht="15" outlineLevel="2">
      <c r="A78" s="243"/>
      <c r="B78" s="244"/>
      <c r="C78" s="246" t="s">
        <v>2201</v>
      </c>
      <c r="D78" s="247"/>
      <c r="E78" s="248">
        <v>1</v>
      </c>
      <c r="F78" s="241"/>
      <c r="G78" s="241"/>
      <c r="H78" s="241"/>
      <c r="I78" s="241"/>
      <c r="J78" s="241"/>
      <c r="K78" s="241"/>
      <c r="L78" s="241"/>
      <c r="M78" s="241"/>
      <c r="N78" s="245"/>
      <c r="O78" s="245"/>
      <c r="P78" s="245"/>
      <c r="Q78" s="245"/>
      <c r="R78" s="241"/>
      <c r="S78" s="241"/>
      <c r="T78" s="241"/>
      <c r="U78" s="241"/>
      <c r="V78" s="241"/>
      <c r="W78" s="241"/>
      <c r="X78" s="241"/>
      <c r="Y78" s="242"/>
      <c r="Z78" s="242"/>
      <c r="AA78" s="242"/>
      <c r="AB78" s="242"/>
      <c r="AC78" s="242"/>
      <c r="AD78" s="242"/>
      <c r="AE78" s="242"/>
      <c r="AF78" s="242" t="s">
        <v>1418</v>
      </c>
      <c r="AG78" s="242">
        <v>0</v>
      </c>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row>
    <row r="79" spans="1:59" ht="15" outlineLevel="3">
      <c r="A79" s="243"/>
      <c r="B79" s="244"/>
      <c r="C79" s="246" t="s">
        <v>2202</v>
      </c>
      <c r="D79" s="247"/>
      <c r="E79" s="248">
        <v>13</v>
      </c>
      <c r="F79" s="241"/>
      <c r="G79" s="241"/>
      <c r="H79" s="241"/>
      <c r="I79" s="241"/>
      <c r="J79" s="241"/>
      <c r="K79" s="241"/>
      <c r="L79" s="241"/>
      <c r="M79" s="241"/>
      <c r="N79" s="245"/>
      <c r="O79" s="245"/>
      <c r="P79" s="245"/>
      <c r="Q79" s="245"/>
      <c r="R79" s="241"/>
      <c r="S79" s="241"/>
      <c r="T79" s="241"/>
      <c r="U79" s="241"/>
      <c r="V79" s="241"/>
      <c r="W79" s="241"/>
      <c r="X79" s="241"/>
      <c r="Y79" s="242"/>
      <c r="Z79" s="242"/>
      <c r="AA79" s="242"/>
      <c r="AB79" s="242"/>
      <c r="AC79" s="242"/>
      <c r="AD79" s="242"/>
      <c r="AE79" s="242"/>
      <c r="AF79" s="242" t="s">
        <v>1418</v>
      </c>
      <c r="AG79" s="242">
        <v>0</v>
      </c>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row>
    <row r="80" spans="1:59" ht="30.6" outlineLevel="1">
      <c r="A80" s="234">
        <v>19</v>
      </c>
      <c r="B80" s="235" t="s">
        <v>2232</v>
      </c>
      <c r="C80" s="236" t="s">
        <v>2233</v>
      </c>
      <c r="D80" s="237" t="s">
        <v>260</v>
      </c>
      <c r="E80" s="238">
        <v>2</v>
      </c>
      <c r="F80" s="239"/>
      <c r="G80" s="240">
        <f>ROUND(E80*F80,2)</f>
        <v>0</v>
      </c>
      <c r="H80" s="239">
        <v>0</v>
      </c>
      <c r="I80" s="240">
        <f>ROUND(E80*H80,2)</f>
        <v>0</v>
      </c>
      <c r="J80" s="239">
        <v>8</v>
      </c>
      <c r="K80" s="240">
        <f>ROUND(E80*J80,2)</f>
        <v>16</v>
      </c>
      <c r="L80" s="240">
        <v>21</v>
      </c>
      <c r="M80" s="240">
        <f>G80*(1+L80/100)</f>
        <v>0</v>
      </c>
      <c r="N80" s="238">
        <v>0</v>
      </c>
      <c r="O80" s="238">
        <f>ROUND(E80*N80,2)</f>
        <v>0</v>
      </c>
      <c r="P80" s="238">
        <v>0</v>
      </c>
      <c r="Q80" s="238">
        <f>ROUND(E80*P80,2)</f>
        <v>0</v>
      </c>
      <c r="R80" s="240" t="s">
        <v>1999</v>
      </c>
      <c r="S80" s="240" t="s">
        <v>2177</v>
      </c>
      <c r="T80" s="241">
        <v>0</v>
      </c>
      <c r="U80" s="241">
        <f>ROUND(E80*T80,2)</f>
        <v>0</v>
      </c>
      <c r="V80" s="241"/>
      <c r="W80" s="241" t="s">
        <v>2178</v>
      </c>
      <c r="X80" s="241" t="s">
        <v>2179</v>
      </c>
      <c r="Y80" s="242"/>
      <c r="Z80" s="242"/>
      <c r="AA80" s="242"/>
      <c r="AB80" s="242"/>
      <c r="AC80" s="242"/>
      <c r="AD80" s="242"/>
      <c r="AE80" s="242"/>
      <c r="AF80" s="242" t="s">
        <v>2180</v>
      </c>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row>
    <row r="81" spans="1:59" ht="15" outlineLevel="2">
      <c r="A81" s="243"/>
      <c r="B81" s="244"/>
      <c r="C81" s="601" t="s">
        <v>2213</v>
      </c>
      <c r="D81" s="602"/>
      <c r="E81" s="602"/>
      <c r="F81" s="602"/>
      <c r="G81" s="602"/>
      <c r="H81" s="241"/>
      <c r="I81" s="241"/>
      <c r="J81" s="241"/>
      <c r="K81" s="241"/>
      <c r="L81" s="241"/>
      <c r="M81" s="241"/>
      <c r="N81" s="245"/>
      <c r="O81" s="245"/>
      <c r="P81" s="245"/>
      <c r="Q81" s="245"/>
      <c r="R81" s="241"/>
      <c r="S81" s="241"/>
      <c r="T81" s="241"/>
      <c r="U81" s="241"/>
      <c r="V81" s="241"/>
      <c r="W81" s="241"/>
      <c r="X81" s="241"/>
      <c r="Y81" s="242"/>
      <c r="Z81" s="242"/>
      <c r="AA81" s="242"/>
      <c r="AB81" s="242"/>
      <c r="AC81" s="242"/>
      <c r="AD81" s="242"/>
      <c r="AE81" s="242"/>
      <c r="AF81" s="242" t="s">
        <v>2182</v>
      </c>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row>
    <row r="82" spans="1:59" ht="15" outlineLevel="2">
      <c r="A82" s="243"/>
      <c r="B82" s="244"/>
      <c r="C82" s="246" t="s">
        <v>2205</v>
      </c>
      <c r="D82" s="247"/>
      <c r="E82" s="248">
        <v>2</v>
      </c>
      <c r="F82" s="241"/>
      <c r="G82" s="241"/>
      <c r="H82" s="241"/>
      <c r="I82" s="241"/>
      <c r="J82" s="241"/>
      <c r="K82" s="241"/>
      <c r="L82" s="241"/>
      <c r="M82" s="241"/>
      <c r="N82" s="245"/>
      <c r="O82" s="245"/>
      <c r="P82" s="245"/>
      <c r="Q82" s="245"/>
      <c r="R82" s="241"/>
      <c r="S82" s="241"/>
      <c r="T82" s="241"/>
      <c r="U82" s="241"/>
      <c r="V82" s="241"/>
      <c r="W82" s="241"/>
      <c r="X82" s="241"/>
      <c r="Y82" s="242"/>
      <c r="Z82" s="242"/>
      <c r="AA82" s="242"/>
      <c r="AB82" s="242"/>
      <c r="AC82" s="242"/>
      <c r="AD82" s="242"/>
      <c r="AE82" s="242"/>
      <c r="AF82" s="242" t="s">
        <v>1418</v>
      </c>
      <c r="AG82" s="242">
        <v>0</v>
      </c>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row>
    <row r="83" spans="1:59" ht="30.6" outlineLevel="1">
      <c r="A83" s="234">
        <v>20</v>
      </c>
      <c r="B83" s="235" t="s">
        <v>2234</v>
      </c>
      <c r="C83" s="236" t="s">
        <v>2235</v>
      </c>
      <c r="D83" s="237" t="s">
        <v>260</v>
      </c>
      <c r="E83" s="238">
        <v>25</v>
      </c>
      <c r="F83" s="239"/>
      <c r="G83" s="240">
        <f>ROUND(E83*F83,2)</f>
        <v>0</v>
      </c>
      <c r="H83" s="239">
        <v>0</v>
      </c>
      <c r="I83" s="240">
        <f>ROUND(E83*H83,2)</f>
        <v>0</v>
      </c>
      <c r="J83" s="239">
        <v>17.4</v>
      </c>
      <c r="K83" s="240">
        <f>ROUND(E83*J83,2)</f>
        <v>435</v>
      </c>
      <c r="L83" s="240">
        <v>21</v>
      </c>
      <c r="M83" s="240">
        <f>G83*(1+L83/100)</f>
        <v>0</v>
      </c>
      <c r="N83" s="238">
        <v>0</v>
      </c>
      <c r="O83" s="238">
        <f>ROUND(E83*N83,2)</f>
        <v>0</v>
      </c>
      <c r="P83" s="238">
        <v>0</v>
      </c>
      <c r="Q83" s="238">
        <f>ROUND(E83*P83,2)</f>
        <v>0</v>
      </c>
      <c r="R83" s="240" t="s">
        <v>1999</v>
      </c>
      <c r="S83" s="240" t="s">
        <v>2177</v>
      </c>
      <c r="T83" s="241">
        <v>0</v>
      </c>
      <c r="U83" s="241">
        <f>ROUND(E83*T83,2)</f>
        <v>0</v>
      </c>
      <c r="V83" s="241"/>
      <c r="W83" s="241" t="s">
        <v>2178</v>
      </c>
      <c r="X83" s="241" t="s">
        <v>2179</v>
      </c>
      <c r="Y83" s="242"/>
      <c r="Z83" s="242"/>
      <c r="AA83" s="242"/>
      <c r="AB83" s="242"/>
      <c r="AC83" s="242"/>
      <c r="AD83" s="242"/>
      <c r="AE83" s="242"/>
      <c r="AF83" s="242" t="s">
        <v>2180</v>
      </c>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row>
    <row r="84" spans="1:59" ht="15" outlineLevel="2">
      <c r="A84" s="243"/>
      <c r="B84" s="244"/>
      <c r="C84" s="601" t="s">
        <v>2213</v>
      </c>
      <c r="D84" s="602"/>
      <c r="E84" s="602"/>
      <c r="F84" s="602"/>
      <c r="G84" s="602"/>
      <c r="H84" s="241"/>
      <c r="I84" s="241"/>
      <c r="J84" s="241"/>
      <c r="K84" s="241"/>
      <c r="L84" s="241"/>
      <c r="M84" s="241"/>
      <c r="N84" s="245"/>
      <c r="O84" s="245"/>
      <c r="P84" s="245"/>
      <c r="Q84" s="245"/>
      <c r="R84" s="241"/>
      <c r="S84" s="241"/>
      <c r="T84" s="241"/>
      <c r="U84" s="241"/>
      <c r="V84" s="241"/>
      <c r="W84" s="241"/>
      <c r="X84" s="241"/>
      <c r="Y84" s="242"/>
      <c r="Z84" s="242"/>
      <c r="AA84" s="242"/>
      <c r="AB84" s="242"/>
      <c r="AC84" s="242"/>
      <c r="AD84" s="242"/>
      <c r="AE84" s="242"/>
      <c r="AF84" s="242" t="s">
        <v>2182</v>
      </c>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row>
    <row r="85" spans="1:59" ht="15" outlineLevel="2">
      <c r="A85" s="243"/>
      <c r="B85" s="244"/>
      <c r="C85" s="246" t="s">
        <v>2197</v>
      </c>
      <c r="D85" s="247"/>
      <c r="E85" s="248">
        <v>2</v>
      </c>
      <c r="F85" s="241"/>
      <c r="G85" s="241"/>
      <c r="H85" s="241"/>
      <c r="I85" s="241"/>
      <c r="J85" s="241"/>
      <c r="K85" s="241"/>
      <c r="L85" s="241"/>
      <c r="M85" s="241"/>
      <c r="N85" s="245"/>
      <c r="O85" s="245"/>
      <c r="P85" s="245"/>
      <c r="Q85" s="245"/>
      <c r="R85" s="241"/>
      <c r="S85" s="241"/>
      <c r="T85" s="241"/>
      <c r="U85" s="241"/>
      <c r="V85" s="241"/>
      <c r="W85" s="241"/>
      <c r="X85" s="241"/>
      <c r="Y85" s="242"/>
      <c r="Z85" s="242"/>
      <c r="AA85" s="242"/>
      <c r="AB85" s="242"/>
      <c r="AC85" s="242"/>
      <c r="AD85" s="242"/>
      <c r="AE85" s="242"/>
      <c r="AF85" s="242" t="s">
        <v>1418</v>
      </c>
      <c r="AG85" s="242">
        <v>0</v>
      </c>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row>
    <row r="86" spans="1:59" ht="15" outlineLevel="3">
      <c r="A86" s="243"/>
      <c r="B86" s="244"/>
      <c r="C86" s="246" t="s">
        <v>2198</v>
      </c>
      <c r="D86" s="247"/>
      <c r="E86" s="248">
        <v>23</v>
      </c>
      <c r="F86" s="241"/>
      <c r="G86" s="241"/>
      <c r="H86" s="241"/>
      <c r="I86" s="241"/>
      <c r="J86" s="241"/>
      <c r="K86" s="241"/>
      <c r="L86" s="241"/>
      <c r="M86" s="241"/>
      <c r="N86" s="245"/>
      <c r="O86" s="245"/>
      <c r="P86" s="245"/>
      <c r="Q86" s="245"/>
      <c r="R86" s="241"/>
      <c r="S86" s="241"/>
      <c r="T86" s="241"/>
      <c r="U86" s="241"/>
      <c r="V86" s="241"/>
      <c r="W86" s="241"/>
      <c r="X86" s="241"/>
      <c r="Y86" s="242"/>
      <c r="Z86" s="242"/>
      <c r="AA86" s="242"/>
      <c r="AB86" s="242"/>
      <c r="AC86" s="242"/>
      <c r="AD86" s="242"/>
      <c r="AE86" s="242"/>
      <c r="AF86" s="242" t="s">
        <v>1418</v>
      </c>
      <c r="AG86" s="242">
        <v>0</v>
      </c>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row>
    <row r="87" spans="1:59" ht="30.6" outlineLevel="1">
      <c r="A87" s="234">
        <v>21</v>
      </c>
      <c r="B87" s="235" t="s">
        <v>2236</v>
      </c>
      <c r="C87" s="236" t="s">
        <v>2237</v>
      </c>
      <c r="D87" s="237" t="s">
        <v>260</v>
      </c>
      <c r="E87" s="238">
        <v>14</v>
      </c>
      <c r="F87" s="239"/>
      <c r="G87" s="240">
        <f>ROUND(E87*F87,2)</f>
        <v>0</v>
      </c>
      <c r="H87" s="239">
        <v>0</v>
      </c>
      <c r="I87" s="240">
        <f>ROUND(E87*H87,2)</f>
        <v>0</v>
      </c>
      <c r="J87" s="239">
        <v>92.7</v>
      </c>
      <c r="K87" s="240">
        <f>ROUND(E87*J87,2)</f>
        <v>1297.8</v>
      </c>
      <c r="L87" s="240">
        <v>21</v>
      </c>
      <c r="M87" s="240">
        <f>G87*(1+L87/100)</f>
        <v>0</v>
      </c>
      <c r="N87" s="238">
        <v>0</v>
      </c>
      <c r="O87" s="238">
        <f>ROUND(E87*N87,2)</f>
        <v>0</v>
      </c>
      <c r="P87" s="238">
        <v>0</v>
      </c>
      <c r="Q87" s="238">
        <f>ROUND(E87*P87,2)</f>
        <v>0</v>
      </c>
      <c r="R87" s="240" t="s">
        <v>1999</v>
      </c>
      <c r="S87" s="240" t="s">
        <v>2177</v>
      </c>
      <c r="T87" s="241">
        <v>0</v>
      </c>
      <c r="U87" s="241">
        <f>ROUND(E87*T87,2)</f>
        <v>0</v>
      </c>
      <c r="V87" s="241"/>
      <c r="W87" s="241" t="s">
        <v>2178</v>
      </c>
      <c r="X87" s="241" t="s">
        <v>2179</v>
      </c>
      <c r="Y87" s="242"/>
      <c r="Z87" s="242"/>
      <c r="AA87" s="242"/>
      <c r="AB87" s="242"/>
      <c r="AC87" s="242"/>
      <c r="AD87" s="242"/>
      <c r="AE87" s="242"/>
      <c r="AF87" s="242" t="s">
        <v>2180</v>
      </c>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row>
    <row r="88" spans="1:59" ht="15" outlineLevel="2">
      <c r="A88" s="243"/>
      <c r="B88" s="244"/>
      <c r="C88" s="601" t="s">
        <v>2213</v>
      </c>
      <c r="D88" s="602"/>
      <c r="E88" s="602"/>
      <c r="F88" s="602"/>
      <c r="G88" s="602"/>
      <c r="H88" s="241"/>
      <c r="I88" s="241"/>
      <c r="J88" s="241"/>
      <c r="K88" s="241"/>
      <c r="L88" s="241"/>
      <c r="M88" s="241"/>
      <c r="N88" s="245"/>
      <c r="O88" s="245"/>
      <c r="P88" s="245"/>
      <c r="Q88" s="245"/>
      <c r="R88" s="241"/>
      <c r="S88" s="241"/>
      <c r="T88" s="241"/>
      <c r="U88" s="241"/>
      <c r="V88" s="241"/>
      <c r="W88" s="241"/>
      <c r="X88" s="241"/>
      <c r="Y88" s="242"/>
      <c r="Z88" s="242"/>
      <c r="AA88" s="242"/>
      <c r="AB88" s="242"/>
      <c r="AC88" s="242"/>
      <c r="AD88" s="242"/>
      <c r="AE88" s="242"/>
      <c r="AF88" s="242" t="s">
        <v>2182</v>
      </c>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row>
    <row r="89" spans="1:59" ht="15" outlineLevel="2">
      <c r="A89" s="243"/>
      <c r="B89" s="244"/>
      <c r="C89" s="246" t="s">
        <v>2201</v>
      </c>
      <c r="D89" s="247"/>
      <c r="E89" s="248">
        <v>1</v>
      </c>
      <c r="F89" s="241"/>
      <c r="G89" s="241"/>
      <c r="H89" s="241"/>
      <c r="I89" s="241"/>
      <c r="J89" s="241"/>
      <c r="K89" s="241"/>
      <c r="L89" s="241"/>
      <c r="M89" s="241"/>
      <c r="N89" s="245"/>
      <c r="O89" s="245"/>
      <c r="P89" s="245"/>
      <c r="Q89" s="245"/>
      <c r="R89" s="241"/>
      <c r="S89" s="241"/>
      <c r="T89" s="241"/>
      <c r="U89" s="241"/>
      <c r="V89" s="241"/>
      <c r="W89" s="241"/>
      <c r="X89" s="241"/>
      <c r="Y89" s="242"/>
      <c r="Z89" s="242"/>
      <c r="AA89" s="242"/>
      <c r="AB89" s="242"/>
      <c r="AC89" s="242"/>
      <c r="AD89" s="242"/>
      <c r="AE89" s="242"/>
      <c r="AF89" s="242" t="s">
        <v>1418</v>
      </c>
      <c r="AG89" s="242">
        <v>0</v>
      </c>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row>
    <row r="90" spans="1:59" ht="15" outlineLevel="3">
      <c r="A90" s="243"/>
      <c r="B90" s="244"/>
      <c r="C90" s="246" t="s">
        <v>2202</v>
      </c>
      <c r="D90" s="247"/>
      <c r="E90" s="248">
        <v>13</v>
      </c>
      <c r="F90" s="241"/>
      <c r="G90" s="241"/>
      <c r="H90" s="241"/>
      <c r="I90" s="241"/>
      <c r="J90" s="241"/>
      <c r="K90" s="241"/>
      <c r="L90" s="241"/>
      <c r="M90" s="241"/>
      <c r="N90" s="245"/>
      <c r="O90" s="245"/>
      <c r="P90" s="245"/>
      <c r="Q90" s="245"/>
      <c r="R90" s="241"/>
      <c r="S90" s="241"/>
      <c r="T90" s="241"/>
      <c r="U90" s="241"/>
      <c r="V90" s="241"/>
      <c r="W90" s="241"/>
      <c r="X90" s="241"/>
      <c r="Y90" s="242"/>
      <c r="Z90" s="242"/>
      <c r="AA90" s="242"/>
      <c r="AB90" s="242"/>
      <c r="AC90" s="242"/>
      <c r="AD90" s="242"/>
      <c r="AE90" s="242"/>
      <c r="AF90" s="242" t="s">
        <v>1418</v>
      </c>
      <c r="AG90" s="242">
        <v>0</v>
      </c>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row>
    <row r="91" spans="1:59" ht="30.6" outlineLevel="1">
      <c r="A91" s="234">
        <v>22</v>
      </c>
      <c r="B91" s="235" t="s">
        <v>2238</v>
      </c>
      <c r="C91" s="236" t="s">
        <v>2239</v>
      </c>
      <c r="D91" s="237" t="s">
        <v>260</v>
      </c>
      <c r="E91" s="238">
        <v>2</v>
      </c>
      <c r="F91" s="239"/>
      <c r="G91" s="240">
        <f>ROUND(E91*F91,2)</f>
        <v>0</v>
      </c>
      <c r="H91" s="239">
        <v>0</v>
      </c>
      <c r="I91" s="240">
        <f>ROUND(E91*H91,2)</f>
        <v>0</v>
      </c>
      <c r="J91" s="239">
        <v>19</v>
      </c>
      <c r="K91" s="240">
        <f>ROUND(E91*J91,2)</f>
        <v>38</v>
      </c>
      <c r="L91" s="240">
        <v>21</v>
      </c>
      <c r="M91" s="240">
        <f>G91*(1+L91/100)</f>
        <v>0</v>
      </c>
      <c r="N91" s="238">
        <v>0</v>
      </c>
      <c r="O91" s="238">
        <f>ROUND(E91*N91,2)</f>
        <v>0</v>
      </c>
      <c r="P91" s="238">
        <v>0</v>
      </c>
      <c r="Q91" s="238">
        <f>ROUND(E91*P91,2)</f>
        <v>0</v>
      </c>
      <c r="R91" s="240" t="s">
        <v>1999</v>
      </c>
      <c r="S91" s="240" t="s">
        <v>2177</v>
      </c>
      <c r="T91" s="241">
        <v>0</v>
      </c>
      <c r="U91" s="241">
        <f>ROUND(E91*T91,2)</f>
        <v>0</v>
      </c>
      <c r="V91" s="241"/>
      <c r="W91" s="241" t="s">
        <v>2178</v>
      </c>
      <c r="X91" s="241" t="s">
        <v>2179</v>
      </c>
      <c r="Y91" s="242"/>
      <c r="Z91" s="242"/>
      <c r="AA91" s="242"/>
      <c r="AB91" s="242"/>
      <c r="AC91" s="242"/>
      <c r="AD91" s="242"/>
      <c r="AE91" s="242"/>
      <c r="AF91" s="242" t="s">
        <v>2180</v>
      </c>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row>
    <row r="92" spans="1:59" ht="15" outlineLevel="2">
      <c r="A92" s="243"/>
      <c r="B92" s="244"/>
      <c r="C92" s="601" t="s">
        <v>2213</v>
      </c>
      <c r="D92" s="602"/>
      <c r="E92" s="602"/>
      <c r="F92" s="602"/>
      <c r="G92" s="602"/>
      <c r="H92" s="241"/>
      <c r="I92" s="241"/>
      <c r="J92" s="241"/>
      <c r="K92" s="241"/>
      <c r="L92" s="241"/>
      <c r="M92" s="241"/>
      <c r="N92" s="245"/>
      <c r="O92" s="245"/>
      <c r="P92" s="245"/>
      <c r="Q92" s="245"/>
      <c r="R92" s="241"/>
      <c r="S92" s="241"/>
      <c r="T92" s="241"/>
      <c r="U92" s="241"/>
      <c r="V92" s="241"/>
      <c r="W92" s="241"/>
      <c r="X92" s="241"/>
      <c r="Y92" s="242"/>
      <c r="Z92" s="242"/>
      <c r="AA92" s="242"/>
      <c r="AB92" s="242"/>
      <c r="AC92" s="242"/>
      <c r="AD92" s="242"/>
      <c r="AE92" s="242"/>
      <c r="AF92" s="242" t="s">
        <v>2182</v>
      </c>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row>
    <row r="93" spans="1:59" ht="15" outlineLevel="2">
      <c r="A93" s="243"/>
      <c r="B93" s="244"/>
      <c r="C93" s="246" t="s">
        <v>2205</v>
      </c>
      <c r="D93" s="247"/>
      <c r="E93" s="248">
        <v>2</v>
      </c>
      <c r="F93" s="241"/>
      <c r="G93" s="241"/>
      <c r="H93" s="241"/>
      <c r="I93" s="241"/>
      <c r="J93" s="241"/>
      <c r="K93" s="241"/>
      <c r="L93" s="241"/>
      <c r="M93" s="241"/>
      <c r="N93" s="245"/>
      <c r="O93" s="245"/>
      <c r="P93" s="245"/>
      <c r="Q93" s="245"/>
      <c r="R93" s="241"/>
      <c r="S93" s="241"/>
      <c r="T93" s="241"/>
      <c r="U93" s="241"/>
      <c r="V93" s="241"/>
      <c r="W93" s="241"/>
      <c r="X93" s="241"/>
      <c r="Y93" s="242"/>
      <c r="Z93" s="242"/>
      <c r="AA93" s="242"/>
      <c r="AB93" s="242"/>
      <c r="AC93" s="242"/>
      <c r="AD93" s="242"/>
      <c r="AE93" s="242"/>
      <c r="AF93" s="242" t="s">
        <v>1418</v>
      </c>
      <c r="AG93" s="242">
        <v>0</v>
      </c>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row>
    <row r="94" spans="1:59" ht="20.4" outlineLevel="1">
      <c r="A94" s="234">
        <v>23</v>
      </c>
      <c r="B94" s="235" t="s">
        <v>2240</v>
      </c>
      <c r="C94" s="236" t="s">
        <v>2241</v>
      </c>
      <c r="D94" s="237" t="s">
        <v>260</v>
      </c>
      <c r="E94" s="238">
        <v>27</v>
      </c>
      <c r="F94" s="239"/>
      <c r="G94" s="240">
        <f>ROUND(E94*F94,2)</f>
        <v>0</v>
      </c>
      <c r="H94" s="239">
        <v>0</v>
      </c>
      <c r="I94" s="240">
        <f>ROUND(E94*H94,2)</f>
        <v>0</v>
      </c>
      <c r="J94" s="239">
        <v>25.6</v>
      </c>
      <c r="K94" s="240">
        <f>ROUND(E94*J94,2)</f>
        <v>691.2</v>
      </c>
      <c r="L94" s="240">
        <v>21</v>
      </c>
      <c r="M94" s="240">
        <f>G94*(1+L94/100)</f>
        <v>0</v>
      </c>
      <c r="N94" s="238">
        <v>0</v>
      </c>
      <c r="O94" s="238">
        <f>ROUND(E94*N94,2)</f>
        <v>0</v>
      </c>
      <c r="P94" s="238">
        <v>0</v>
      </c>
      <c r="Q94" s="238">
        <f>ROUND(E94*P94,2)</f>
        <v>0</v>
      </c>
      <c r="R94" s="240" t="s">
        <v>1999</v>
      </c>
      <c r="S94" s="240" t="s">
        <v>2177</v>
      </c>
      <c r="T94" s="241">
        <v>0</v>
      </c>
      <c r="U94" s="241">
        <f>ROUND(E94*T94,2)</f>
        <v>0</v>
      </c>
      <c r="V94" s="241"/>
      <c r="W94" s="241" t="s">
        <v>2178</v>
      </c>
      <c r="X94" s="241" t="s">
        <v>2179</v>
      </c>
      <c r="Y94" s="242"/>
      <c r="Z94" s="242"/>
      <c r="AA94" s="242"/>
      <c r="AB94" s="242"/>
      <c r="AC94" s="242"/>
      <c r="AD94" s="242"/>
      <c r="AE94" s="242"/>
      <c r="AF94" s="242" t="s">
        <v>2180</v>
      </c>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row>
    <row r="95" spans="1:59" ht="15" outlineLevel="2">
      <c r="A95" s="243"/>
      <c r="B95" s="244"/>
      <c r="C95" s="601" t="s">
        <v>2213</v>
      </c>
      <c r="D95" s="602"/>
      <c r="E95" s="602"/>
      <c r="F95" s="602"/>
      <c r="G95" s="602"/>
      <c r="H95" s="241"/>
      <c r="I95" s="241"/>
      <c r="J95" s="241"/>
      <c r="K95" s="241"/>
      <c r="L95" s="241"/>
      <c r="M95" s="241"/>
      <c r="N95" s="245"/>
      <c r="O95" s="245"/>
      <c r="P95" s="245"/>
      <c r="Q95" s="245"/>
      <c r="R95" s="241"/>
      <c r="S95" s="241"/>
      <c r="T95" s="241"/>
      <c r="U95" s="241"/>
      <c r="V95" s="241"/>
      <c r="W95" s="241"/>
      <c r="X95" s="241"/>
      <c r="Y95" s="242"/>
      <c r="Z95" s="242"/>
      <c r="AA95" s="242"/>
      <c r="AB95" s="242"/>
      <c r="AC95" s="242"/>
      <c r="AD95" s="242"/>
      <c r="AE95" s="242"/>
      <c r="AF95" s="242" t="s">
        <v>2182</v>
      </c>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row>
    <row r="96" spans="1:59" ht="15" outlineLevel="2">
      <c r="A96" s="243"/>
      <c r="B96" s="244"/>
      <c r="C96" s="246" t="s">
        <v>2205</v>
      </c>
      <c r="D96" s="247"/>
      <c r="E96" s="248">
        <v>2</v>
      </c>
      <c r="F96" s="241"/>
      <c r="G96" s="241"/>
      <c r="H96" s="241"/>
      <c r="I96" s="241"/>
      <c r="J96" s="241"/>
      <c r="K96" s="241"/>
      <c r="L96" s="241"/>
      <c r="M96" s="241"/>
      <c r="N96" s="245"/>
      <c r="O96" s="245"/>
      <c r="P96" s="245"/>
      <c r="Q96" s="245"/>
      <c r="R96" s="241"/>
      <c r="S96" s="241"/>
      <c r="T96" s="241"/>
      <c r="U96" s="241"/>
      <c r="V96" s="241"/>
      <c r="W96" s="241"/>
      <c r="X96" s="241"/>
      <c r="Y96" s="242"/>
      <c r="Z96" s="242"/>
      <c r="AA96" s="242"/>
      <c r="AB96" s="242"/>
      <c r="AC96" s="242"/>
      <c r="AD96" s="242"/>
      <c r="AE96" s="242"/>
      <c r="AF96" s="242" t="s">
        <v>1418</v>
      </c>
      <c r="AG96" s="242">
        <v>0</v>
      </c>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row>
    <row r="97" spans="1:59" ht="15" outlineLevel="3">
      <c r="A97" s="243"/>
      <c r="B97" s="244"/>
      <c r="C97" s="246" t="s">
        <v>2197</v>
      </c>
      <c r="D97" s="247"/>
      <c r="E97" s="248">
        <v>2</v>
      </c>
      <c r="F97" s="241"/>
      <c r="G97" s="241"/>
      <c r="H97" s="241"/>
      <c r="I97" s="241"/>
      <c r="J97" s="241"/>
      <c r="K97" s="241"/>
      <c r="L97" s="241"/>
      <c r="M97" s="241"/>
      <c r="N97" s="245"/>
      <c r="O97" s="245"/>
      <c r="P97" s="245"/>
      <c r="Q97" s="245"/>
      <c r="R97" s="241"/>
      <c r="S97" s="241"/>
      <c r="T97" s="241"/>
      <c r="U97" s="241"/>
      <c r="V97" s="241"/>
      <c r="W97" s="241"/>
      <c r="X97" s="241"/>
      <c r="Y97" s="242"/>
      <c r="Z97" s="242"/>
      <c r="AA97" s="242"/>
      <c r="AB97" s="242"/>
      <c r="AC97" s="242"/>
      <c r="AD97" s="242"/>
      <c r="AE97" s="242"/>
      <c r="AF97" s="242" t="s">
        <v>1418</v>
      </c>
      <c r="AG97" s="242">
        <v>0</v>
      </c>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row>
    <row r="98" spans="1:59" ht="15" outlineLevel="3">
      <c r="A98" s="243"/>
      <c r="B98" s="244"/>
      <c r="C98" s="246" t="s">
        <v>2198</v>
      </c>
      <c r="D98" s="247"/>
      <c r="E98" s="248">
        <v>23</v>
      </c>
      <c r="F98" s="241"/>
      <c r="G98" s="241"/>
      <c r="H98" s="241"/>
      <c r="I98" s="241"/>
      <c r="J98" s="241"/>
      <c r="K98" s="241"/>
      <c r="L98" s="241"/>
      <c r="M98" s="241"/>
      <c r="N98" s="245"/>
      <c r="O98" s="245"/>
      <c r="P98" s="245"/>
      <c r="Q98" s="245"/>
      <c r="R98" s="241"/>
      <c r="S98" s="241"/>
      <c r="T98" s="241"/>
      <c r="U98" s="241"/>
      <c r="V98" s="241"/>
      <c r="W98" s="241"/>
      <c r="X98" s="241"/>
      <c r="Y98" s="242"/>
      <c r="Z98" s="242"/>
      <c r="AA98" s="242"/>
      <c r="AB98" s="242"/>
      <c r="AC98" s="242"/>
      <c r="AD98" s="242"/>
      <c r="AE98" s="242"/>
      <c r="AF98" s="242" t="s">
        <v>1418</v>
      </c>
      <c r="AG98" s="242">
        <v>0</v>
      </c>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row>
    <row r="99" spans="1:59" ht="20.4" outlineLevel="1">
      <c r="A99" s="234">
        <v>24</v>
      </c>
      <c r="B99" s="235" t="s">
        <v>2242</v>
      </c>
      <c r="C99" s="236" t="s">
        <v>2243</v>
      </c>
      <c r="D99" s="237" t="s">
        <v>260</v>
      </c>
      <c r="E99" s="238">
        <v>14</v>
      </c>
      <c r="F99" s="239"/>
      <c r="G99" s="240">
        <f>ROUND(E99*F99,2)</f>
        <v>0</v>
      </c>
      <c r="H99" s="239">
        <v>0</v>
      </c>
      <c r="I99" s="240">
        <f>ROUND(E99*H99,2)</f>
        <v>0</v>
      </c>
      <c r="J99" s="239">
        <v>52.8</v>
      </c>
      <c r="K99" s="240">
        <f>ROUND(E99*J99,2)</f>
        <v>739.2</v>
      </c>
      <c r="L99" s="240">
        <v>21</v>
      </c>
      <c r="M99" s="240">
        <f>G99*(1+L99/100)</f>
        <v>0</v>
      </c>
      <c r="N99" s="238">
        <v>0</v>
      </c>
      <c r="O99" s="238">
        <f>ROUND(E99*N99,2)</f>
        <v>0</v>
      </c>
      <c r="P99" s="238">
        <v>0</v>
      </c>
      <c r="Q99" s="238">
        <f>ROUND(E99*P99,2)</f>
        <v>0</v>
      </c>
      <c r="R99" s="240" t="s">
        <v>1999</v>
      </c>
      <c r="S99" s="240" t="s">
        <v>2177</v>
      </c>
      <c r="T99" s="241">
        <v>0</v>
      </c>
      <c r="U99" s="241">
        <f>ROUND(E99*T99,2)</f>
        <v>0</v>
      </c>
      <c r="V99" s="241"/>
      <c r="W99" s="241" t="s">
        <v>2178</v>
      </c>
      <c r="X99" s="241" t="s">
        <v>2179</v>
      </c>
      <c r="Y99" s="242"/>
      <c r="Z99" s="242"/>
      <c r="AA99" s="242"/>
      <c r="AB99" s="242"/>
      <c r="AC99" s="242"/>
      <c r="AD99" s="242"/>
      <c r="AE99" s="242"/>
      <c r="AF99" s="242" t="s">
        <v>2180</v>
      </c>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row>
    <row r="100" spans="1:59" ht="15" outlineLevel="2">
      <c r="A100" s="243"/>
      <c r="B100" s="244"/>
      <c r="C100" s="601" t="s">
        <v>2213</v>
      </c>
      <c r="D100" s="602"/>
      <c r="E100" s="602"/>
      <c r="F100" s="602"/>
      <c r="G100" s="602"/>
      <c r="H100" s="241"/>
      <c r="I100" s="241"/>
      <c r="J100" s="241"/>
      <c r="K100" s="241"/>
      <c r="L100" s="241"/>
      <c r="M100" s="241"/>
      <c r="N100" s="245"/>
      <c r="O100" s="245"/>
      <c r="P100" s="245"/>
      <c r="Q100" s="245"/>
      <c r="R100" s="241"/>
      <c r="S100" s="241"/>
      <c r="T100" s="241"/>
      <c r="U100" s="241"/>
      <c r="V100" s="241"/>
      <c r="W100" s="241"/>
      <c r="X100" s="241"/>
      <c r="Y100" s="242"/>
      <c r="Z100" s="242"/>
      <c r="AA100" s="242"/>
      <c r="AB100" s="242"/>
      <c r="AC100" s="242"/>
      <c r="AD100" s="242"/>
      <c r="AE100" s="242"/>
      <c r="AF100" s="242" t="s">
        <v>2182</v>
      </c>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row>
    <row r="101" spans="1:59" ht="15" outlineLevel="2">
      <c r="A101" s="243"/>
      <c r="B101" s="244"/>
      <c r="C101" s="246" t="s">
        <v>2201</v>
      </c>
      <c r="D101" s="247"/>
      <c r="E101" s="248">
        <v>1</v>
      </c>
      <c r="F101" s="241"/>
      <c r="G101" s="241"/>
      <c r="H101" s="241"/>
      <c r="I101" s="241"/>
      <c r="J101" s="241"/>
      <c r="K101" s="241"/>
      <c r="L101" s="241"/>
      <c r="M101" s="241"/>
      <c r="N101" s="245"/>
      <c r="O101" s="245"/>
      <c r="P101" s="245"/>
      <c r="Q101" s="245"/>
      <c r="R101" s="241"/>
      <c r="S101" s="241"/>
      <c r="T101" s="241"/>
      <c r="U101" s="241"/>
      <c r="V101" s="241"/>
      <c r="W101" s="241"/>
      <c r="X101" s="241"/>
      <c r="Y101" s="242"/>
      <c r="Z101" s="242"/>
      <c r="AA101" s="242"/>
      <c r="AB101" s="242"/>
      <c r="AC101" s="242"/>
      <c r="AD101" s="242"/>
      <c r="AE101" s="242"/>
      <c r="AF101" s="242" t="s">
        <v>1418</v>
      </c>
      <c r="AG101" s="242">
        <v>0</v>
      </c>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row>
    <row r="102" spans="1:59" ht="15" outlineLevel="3">
      <c r="A102" s="243"/>
      <c r="B102" s="244"/>
      <c r="C102" s="246" t="s">
        <v>2202</v>
      </c>
      <c r="D102" s="247"/>
      <c r="E102" s="248">
        <v>13</v>
      </c>
      <c r="F102" s="241"/>
      <c r="G102" s="241"/>
      <c r="H102" s="241"/>
      <c r="I102" s="241"/>
      <c r="J102" s="241"/>
      <c r="K102" s="241"/>
      <c r="L102" s="241"/>
      <c r="M102" s="241"/>
      <c r="N102" s="245"/>
      <c r="O102" s="245"/>
      <c r="P102" s="245"/>
      <c r="Q102" s="245"/>
      <c r="R102" s="241"/>
      <c r="S102" s="241"/>
      <c r="T102" s="241"/>
      <c r="U102" s="241"/>
      <c r="V102" s="241"/>
      <c r="W102" s="241"/>
      <c r="X102" s="241"/>
      <c r="Y102" s="242"/>
      <c r="Z102" s="242"/>
      <c r="AA102" s="242"/>
      <c r="AB102" s="242"/>
      <c r="AC102" s="242"/>
      <c r="AD102" s="242"/>
      <c r="AE102" s="242"/>
      <c r="AF102" s="242" t="s">
        <v>1418</v>
      </c>
      <c r="AG102" s="242">
        <v>0</v>
      </c>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row>
    <row r="103" spans="1:59" ht="15" outlineLevel="1">
      <c r="A103" s="234">
        <v>25</v>
      </c>
      <c r="B103" s="235" t="s">
        <v>2244</v>
      </c>
      <c r="C103" s="236" t="s">
        <v>2245</v>
      </c>
      <c r="D103" s="237" t="s">
        <v>54</v>
      </c>
      <c r="E103" s="238">
        <v>1299</v>
      </c>
      <c r="F103" s="239"/>
      <c r="G103" s="240">
        <f>ROUND(E103*F103,2)</f>
        <v>0</v>
      </c>
      <c r="H103" s="239">
        <v>0</v>
      </c>
      <c r="I103" s="240">
        <f>ROUND(E103*H103,2)</f>
        <v>0</v>
      </c>
      <c r="J103" s="239">
        <v>66</v>
      </c>
      <c r="K103" s="240">
        <f>ROUND(E103*J103,2)</f>
        <v>85734</v>
      </c>
      <c r="L103" s="240">
        <v>21</v>
      </c>
      <c r="M103" s="240">
        <f>G103*(1+L103/100)</f>
        <v>0</v>
      </c>
      <c r="N103" s="238">
        <v>0</v>
      </c>
      <c r="O103" s="238">
        <f>ROUND(E103*N103,2)</f>
        <v>0</v>
      </c>
      <c r="P103" s="238">
        <v>0</v>
      </c>
      <c r="Q103" s="238">
        <f>ROUND(E103*P103,2)</f>
        <v>0</v>
      </c>
      <c r="R103" s="240" t="s">
        <v>1999</v>
      </c>
      <c r="S103" s="240" t="s">
        <v>2177</v>
      </c>
      <c r="T103" s="241">
        <v>0</v>
      </c>
      <c r="U103" s="241">
        <f>ROUND(E103*T103,2)</f>
        <v>0</v>
      </c>
      <c r="V103" s="241"/>
      <c r="W103" s="241" t="s">
        <v>2178</v>
      </c>
      <c r="X103" s="241" t="s">
        <v>2179</v>
      </c>
      <c r="Y103" s="242"/>
      <c r="Z103" s="242"/>
      <c r="AA103" s="242"/>
      <c r="AB103" s="242"/>
      <c r="AC103" s="242"/>
      <c r="AD103" s="242"/>
      <c r="AE103" s="242"/>
      <c r="AF103" s="242" t="s">
        <v>2180</v>
      </c>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row>
    <row r="104" spans="1:59" ht="15" outlineLevel="2">
      <c r="A104" s="243"/>
      <c r="B104" s="244"/>
      <c r="C104" s="601" t="s">
        <v>2246</v>
      </c>
      <c r="D104" s="602"/>
      <c r="E104" s="602"/>
      <c r="F104" s="602"/>
      <c r="G104" s="602"/>
      <c r="H104" s="241"/>
      <c r="I104" s="241"/>
      <c r="J104" s="241"/>
      <c r="K104" s="241"/>
      <c r="L104" s="241"/>
      <c r="M104" s="241"/>
      <c r="N104" s="245"/>
      <c r="O104" s="245"/>
      <c r="P104" s="245"/>
      <c r="Q104" s="245"/>
      <c r="R104" s="241"/>
      <c r="S104" s="241"/>
      <c r="T104" s="241"/>
      <c r="U104" s="241"/>
      <c r="V104" s="241"/>
      <c r="W104" s="241"/>
      <c r="X104" s="241"/>
      <c r="Y104" s="242"/>
      <c r="Z104" s="242"/>
      <c r="AA104" s="242"/>
      <c r="AB104" s="242"/>
      <c r="AC104" s="242"/>
      <c r="AD104" s="242"/>
      <c r="AE104" s="242"/>
      <c r="AF104" s="242" t="s">
        <v>2182</v>
      </c>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row>
    <row r="105" spans="1:59" ht="15" outlineLevel="2">
      <c r="A105" s="243"/>
      <c r="B105" s="244"/>
      <c r="C105" s="246" t="s">
        <v>2187</v>
      </c>
      <c r="D105" s="247"/>
      <c r="E105" s="248">
        <v>124</v>
      </c>
      <c r="F105" s="241"/>
      <c r="G105" s="241"/>
      <c r="H105" s="241"/>
      <c r="I105" s="241"/>
      <c r="J105" s="241"/>
      <c r="K105" s="241"/>
      <c r="L105" s="241"/>
      <c r="M105" s="241"/>
      <c r="N105" s="245"/>
      <c r="O105" s="245"/>
      <c r="P105" s="245"/>
      <c r="Q105" s="245"/>
      <c r="R105" s="241"/>
      <c r="S105" s="241"/>
      <c r="T105" s="241"/>
      <c r="U105" s="241"/>
      <c r="V105" s="241"/>
      <c r="W105" s="241"/>
      <c r="X105" s="241"/>
      <c r="Y105" s="242"/>
      <c r="Z105" s="242"/>
      <c r="AA105" s="242"/>
      <c r="AB105" s="242"/>
      <c r="AC105" s="242"/>
      <c r="AD105" s="242"/>
      <c r="AE105" s="242"/>
      <c r="AF105" s="242" t="s">
        <v>1418</v>
      </c>
      <c r="AG105" s="242">
        <v>0</v>
      </c>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row>
    <row r="106" spans="1:59" ht="15" outlineLevel="3">
      <c r="A106" s="243"/>
      <c r="B106" s="244"/>
      <c r="C106" s="246" t="s">
        <v>2188</v>
      </c>
      <c r="D106" s="247"/>
      <c r="E106" s="248">
        <v>57</v>
      </c>
      <c r="F106" s="241"/>
      <c r="G106" s="241"/>
      <c r="H106" s="241"/>
      <c r="I106" s="241"/>
      <c r="J106" s="241"/>
      <c r="K106" s="241"/>
      <c r="L106" s="241"/>
      <c r="M106" s="241"/>
      <c r="N106" s="245"/>
      <c r="O106" s="245"/>
      <c r="P106" s="245"/>
      <c r="Q106" s="245"/>
      <c r="R106" s="241"/>
      <c r="S106" s="241"/>
      <c r="T106" s="241"/>
      <c r="U106" s="241"/>
      <c r="V106" s="241"/>
      <c r="W106" s="241"/>
      <c r="X106" s="241"/>
      <c r="Y106" s="242"/>
      <c r="Z106" s="242"/>
      <c r="AA106" s="242"/>
      <c r="AB106" s="242"/>
      <c r="AC106" s="242"/>
      <c r="AD106" s="242"/>
      <c r="AE106" s="242"/>
      <c r="AF106" s="242" t="s">
        <v>1418</v>
      </c>
      <c r="AG106" s="242">
        <v>0</v>
      </c>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row>
    <row r="107" spans="1:59" ht="15" outlineLevel="3">
      <c r="A107" s="243"/>
      <c r="B107" s="244"/>
      <c r="C107" s="246" t="s">
        <v>2189</v>
      </c>
      <c r="D107" s="247"/>
      <c r="E107" s="248">
        <v>59</v>
      </c>
      <c r="F107" s="241"/>
      <c r="G107" s="241"/>
      <c r="H107" s="241"/>
      <c r="I107" s="241"/>
      <c r="J107" s="241"/>
      <c r="K107" s="241"/>
      <c r="L107" s="241"/>
      <c r="M107" s="241"/>
      <c r="N107" s="245"/>
      <c r="O107" s="245"/>
      <c r="P107" s="245"/>
      <c r="Q107" s="245"/>
      <c r="R107" s="241"/>
      <c r="S107" s="241"/>
      <c r="T107" s="241"/>
      <c r="U107" s="241"/>
      <c r="V107" s="241"/>
      <c r="W107" s="241"/>
      <c r="X107" s="241"/>
      <c r="Y107" s="242"/>
      <c r="Z107" s="242"/>
      <c r="AA107" s="242"/>
      <c r="AB107" s="242"/>
      <c r="AC107" s="242"/>
      <c r="AD107" s="242"/>
      <c r="AE107" s="242"/>
      <c r="AF107" s="242" t="s">
        <v>1418</v>
      </c>
      <c r="AG107" s="242">
        <v>0</v>
      </c>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row>
    <row r="108" spans="1:59" ht="15" outlineLevel="3">
      <c r="A108" s="243"/>
      <c r="B108" s="244"/>
      <c r="C108" s="246" t="s">
        <v>2193</v>
      </c>
      <c r="D108" s="247"/>
      <c r="E108" s="248">
        <v>1059</v>
      </c>
      <c r="F108" s="241"/>
      <c r="G108" s="241"/>
      <c r="H108" s="241"/>
      <c r="I108" s="241"/>
      <c r="J108" s="241"/>
      <c r="K108" s="241"/>
      <c r="L108" s="241"/>
      <c r="M108" s="241"/>
      <c r="N108" s="245"/>
      <c r="O108" s="245"/>
      <c r="P108" s="245"/>
      <c r="Q108" s="245"/>
      <c r="R108" s="241"/>
      <c r="S108" s="241"/>
      <c r="T108" s="241"/>
      <c r="U108" s="241"/>
      <c r="V108" s="241"/>
      <c r="W108" s="241"/>
      <c r="X108" s="241"/>
      <c r="Y108" s="242"/>
      <c r="Z108" s="242"/>
      <c r="AA108" s="242"/>
      <c r="AB108" s="242"/>
      <c r="AC108" s="242"/>
      <c r="AD108" s="242"/>
      <c r="AE108" s="242"/>
      <c r="AF108" s="242" t="s">
        <v>1418</v>
      </c>
      <c r="AG108" s="242">
        <v>0</v>
      </c>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row>
    <row r="109" spans="1:59" ht="15" outlineLevel="1">
      <c r="A109" s="250">
        <v>26</v>
      </c>
      <c r="B109" s="251" t="s">
        <v>2247</v>
      </c>
      <c r="C109" s="252" t="s">
        <v>2248</v>
      </c>
      <c r="D109" s="253" t="s">
        <v>125</v>
      </c>
      <c r="E109" s="254">
        <v>58</v>
      </c>
      <c r="F109" s="255"/>
      <c r="G109" s="256">
        <f>ROUND(E109*F109,2)</f>
        <v>0</v>
      </c>
      <c r="H109" s="255">
        <v>0</v>
      </c>
      <c r="I109" s="256">
        <f>ROUND(E109*H109,2)</f>
        <v>0</v>
      </c>
      <c r="J109" s="255">
        <v>1500</v>
      </c>
      <c r="K109" s="256">
        <f>ROUND(E109*J109,2)</f>
        <v>87000</v>
      </c>
      <c r="L109" s="256">
        <v>21</v>
      </c>
      <c r="M109" s="256">
        <f>G109*(1+L109/100)</f>
        <v>0</v>
      </c>
      <c r="N109" s="254">
        <v>0</v>
      </c>
      <c r="O109" s="254">
        <f>ROUND(E109*N109,2)</f>
        <v>0</v>
      </c>
      <c r="P109" s="254">
        <v>0</v>
      </c>
      <c r="Q109" s="254">
        <f>ROUND(E109*P109,2)</f>
        <v>0</v>
      </c>
      <c r="R109" s="256" t="s">
        <v>2249</v>
      </c>
      <c r="S109" s="256" t="s">
        <v>2177</v>
      </c>
      <c r="T109" s="241">
        <v>0</v>
      </c>
      <c r="U109" s="241">
        <f>ROUND(E109*T109,2)</f>
        <v>0</v>
      </c>
      <c r="V109" s="241"/>
      <c r="W109" s="241" t="s">
        <v>2178</v>
      </c>
      <c r="X109" s="241" t="s">
        <v>2179</v>
      </c>
      <c r="Y109" s="242"/>
      <c r="Z109" s="242"/>
      <c r="AA109" s="242"/>
      <c r="AB109" s="242"/>
      <c r="AC109" s="242"/>
      <c r="AD109" s="242"/>
      <c r="AE109" s="242"/>
      <c r="AF109" s="242" t="s">
        <v>2180</v>
      </c>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row>
    <row r="110" spans="1:59" ht="15" outlineLevel="1">
      <c r="A110" s="234">
        <v>27</v>
      </c>
      <c r="B110" s="235" t="s">
        <v>2250</v>
      </c>
      <c r="C110" s="236" t="s">
        <v>2251</v>
      </c>
      <c r="D110" s="237" t="s">
        <v>54</v>
      </c>
      <c r="E110" s="238">
        <v>1299</v>
      </c>
      <c r="F110" s="239"/>
      <c r="G110" s="240">
        <f>ROUND(E110*F110,2)</f>
        <v>0</v>
      </c>
      <c r="H110" s="239">
        <v>0</v>
      </c>
      <c r="I110" s="240">
        <f>ROUND(E110*H110,2)</f>
        <v>0</v>
      </c>
      <c r="J110" s="239">
        <v>13</v>
      </c>
      <c r="K110" s="240">
        <f>ROUND(E110*J110,2)</f>
        <v>16887</v>
      </c>
      <c r="L110" s="240">
        <v>21</v>
      </c>
      <c r="M110" s="240">
        <f>G110*(1+L110/100)</f>
        <v>0</v>
      </c>
      <c r="N110" s="238">
        <v>0</v>
      </c>
      <c r="O110" s="238">
        <f>ROUND(E110*N110,2)</f>
        <v>0</v>
      </c>
      <c r="P110" s="238">
        <v>0</v>
      </c>
      <c r="Q110" s="238">
        <f>ROUND(E110*P110,2)</f>
        <v>0</v>
      </c>
      <c r="R110" s="240"/>
      <c r="S110" s="240" t="s">
        <v>2252</v>
      </c>
      <c r="T110" s="241">
        <v>0</v>
      </c>
      <c r="U110" s="241">
        <f>ROUND(E110*T110,2)</f>
        <v>0</v>
      </c>
      <c r="V110" s="241"/>
      <c r="W110" s="241" t="s">
        <v>2178</v>
      </c>
      <c r="X110" s="241" t="s">
        <v>2179</v>
      </c>
      <c r="Y110" s="242"/>
      <c r="Z110" s="242"/>
      <c r="AA110" s="242"/>
      <c r="AB110" s="242"/>
      <c r="AC110" s="242"/>
      <c r="AD110" s="242"/>
      <c r="AE110" s="242"/>
      <c r="AF110" s="242" t="s">
        <v>2180</v>
      </c>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row>
    <row r="111" spans="1:59" ht="15" outlineLevel="2">
      <c r="A111" s="243"/>
      <c r="B111" s="244"/>
      <c r="C111" s="246" t="s">
        <v>2187</v>
      </c>
      <c r="D111" s="247"/>
      <c r="E111" s="248">
        <v>124</v>
      </c>
      <c r="F111" s="241"/>
      <c r="G111" s="241"/>
      <c r="H111" s="241"/>
      <c r="I111" s="241"/>
      <c r="J111" s="241"/>
      <c r="K111" s="241"/>
      <c r="L111" s="241"/>
      <c r="M111" s="241"/>
      <c r="N111" s="245"/>
      <c r="O111" s="245"/>
      <c r="P111" s="245"/>
      <c r="Q111" s="245"/>
      <c r="R111" s="241"/>
      <c r="S111" s="241"/>
      <c r="T111" s="241"/>
      <c r="U111" s="241"/>
      <c r="V111" s="241"/>
      <c r="W111" s="241"/>
      <c r="X111" s="241"/>
      <c r="Y111" s="242"/>
      <c r="Z111" s="242"/>
      <c r="AA111" s="242"/>
      <c r="AB111" s="242"/>
      <c r="AC111" s="242"/>
      <c r="AD111" s="242"/>
      <c r="AE111" s="242"/>
      <c r="AF111" s="242" t="s">
        <v>1418</v>
      </c>
      <c r="AG111" s="242">
        <v>0</v>
      </c>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row>
    <row r="112" spans="1:59" ht="15" outlineLevel="3">
      <c r="A112" s="243"/>
      <c r="B112" s="244"/>
      <c r="C112" s="246" t="s">
        <v>2188</v>
      </c>
      <c r="D112" s="247"/>
      <c r="E112" s="248">
        <v>57</v>
      </c>
      <c r="F112" s="241"/>
      <c r="G112" s="241"/>
      <c r="H112" s="241"/>
      <c r="I112" s="241"/>
      <c r="J112" s="241"/>
      <c r="K112" s="241"/>
      <c r="L112" s="241"/>
      <c r="M112" s="241"/>
      <c r="N112" s="245"/>
      <c r="O112" s="245"/>
      <c r="P112" s="245"/>
      <c r="Q112" s="245"/>
      <c r="R112" s="241"/>
      <c r="S112" s="241"/>
      <c r="T112" s="241"/>
      <c r="U112" s="241"/>
      <c r="V112" s="241"/>
      <c r="W112" s="241"/>
      <c r="X112" s="241"/>
      <c r="Y112" s="242"/>
      <c r="Z112" s="242"/>
      <c r="AA112" s="242"/>
      <c r="AB112" s="242"/>
      <c r="AC112" s="242"/>
      <c r="AD112" s="242"/>
      <c r="AE112" s="242"/>
      <c r="AF112" s="242" t="s">
        <v>1418</v>
      </c>
      <c r="AG112" s="242">
        <v>0</v>
      </c>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row>
    <row r="113" spans="1:59" ht="15" outlineLevel="3">
      <c r="A113" s="243"/>
      <c r="B113" s="244"/>
      <c r="C113" s="246" t="s">
        <v>2189</v>
      </c>
      <c r="D113" s="247"/>
      <c r="E113" s="248">
        <v>59</v>
      </c>
      <c r="F113" s="241"/>
      <c r="G113" s="241"/>
      <c r="H113" s="241"/>
      <c r="I113" s="241"/>
      <c r="J113" s="241"/>
      <c r="K113" s="241"/>
      <c r="L113" s="241"/>
      <c r="M113" s="241"/>
      <c r="N113" s="245"/>
      <c r="O113" s="245"/>
      <c r="P113" s="245"/>
      <c r="Q113" s="245"/>
      <c r="R113" s="241"/>
      <c r="S113" s="241"/>
      <c r="T113" s="241"/>
      <c r="U113" s="241"/>
      <c r="V113" s="241"/>
      <c r="W113" s="241"/>
      <c r="X113" s="241"/>
      <c r="Y113" s="242"/>
      <c r="Z113" s="242"/>
      <c r="AA113" s="242"/>
      <c r="AB113" s="242"/>
      <c r="AC113" s="242"/>
      <c r="AD113" s="242"/>
      <c r="AE113" s="242"/>
      <c r="AF113" s="242" t="s">
        <v>1418</v>
      </c>
      <c r="AG113" s="242">
        <v>0</v>
      </c>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row>
    <row r="114" spans="1:59" ht="15" outlineLevel="3">
      <c r="A114" s="243"/>
      <c r="B114" s="244"/>
      <c r="C114" s="246" t="s">
        <v>2193</v>
      </c>
      <c r="D114" s="247"/>
      <c r="E114" s="248">
        <v>1059</v>
      </c>
      <c r="F114" s="241"/>
      <c r="G114" s="241"/>
      <c r="H114" s="241"/>
      <c r="I114" s="241"/>
      <c r="J114" s="241"/>
      <c r="K114" s="241"/>
      <c r="L114" s="241"/>
      <c r="M114" s="241"/>
      <c r="N114" s="245"/>
      <c r="O114" s="245"/>
      <c r="P114" s="245"/>
      <c r="Q114" s="245"/>
      <c r="R114" s="241"/>
      <c r="S114" s="241"/>
      <c r="T114" s="241"/>
      <c r="U114" s="241"/>
      <c r="V114" s="241"/>
      <c r="W114" s="241"/>
      <c r="X114" s="241"/>
      <c r="Y114" s="242"/>
      <c r="Z114" s="242"/>
      <c r="AA114" s="242"/>
      <c r="AB114" s="242"/>
      <c r="AC114" s="242"/>
      <c r="AD114" s="242"/>
      <c r="AE114" s="242"/>
      <c r="AF114" s="242" t="s">
        <v>1418</v>
      </c>
      <c r="AG114" s="242">
        <v>0</v>
      </c>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row>
    <row r="115" spans="1:32" ht="15">
      <c r="A115" s="227" t="s">
        <v>2173</v>
      </c>
      <c r="B115" s="228" t="s">
        <v>67</v>
      </c>
      <c r="C115" s="229" t="s">
        <v>1220</v>
      </c>
      <c r="D115" s="230"/>
      <c r="E115" s="231"/>
      <c r="F115" s="232"/>
      <c r="G115" s="232">
        <f>SUMIF(AF116:AF118,"&lt;&gt;NOR",G116:G118)</f>
        <v>0</v>
      </c>
      <c r="H115" s="232"/>
      <c r="I115" s="232">
        <f>SUM(I116:I118)</f>
        <v>2777.9</v>
      </c>
      <c r="J115" s="232"/>
      <c r="K115" s="232">
        <f>SUM(K116:K118)</f>
        <v>1212.1</v>
      </c>
      <c r="L115" s="232"/>
      <c r="M115" s="232">
        <f>SUM(M116:M118)</f>
        <v>0</v>
      </c>
      <c r="N115" s="231"/>
      <c r="O115" s="231">
        <f>SUM(O116:O118)</f>
        <v>0.66</v>
      </c>
      <c r="P115" s="231"/>
      <c r="Q115" s="231">
        <f>SUM(Q116:Q118)</f>
        <v>0</v>
      </c>
      <c r="R115" s="232"/>
      <c r="S115" s="232"/>
      <c r="T115" s="233"/>
      <c r="U115" s="233">
        <f>SUM(U116:U118)</f>
        <v>2.6</v>
      </c>
      <c r="V115" s="233"/>
      <c r="W115" s="233"/>
      <c r="X115" s="233"/>
      <c r="AF115" s="210" t="s">
        <v>2174</v>
      </c>
    </row>
    <row r="116" spans="1:59" ht="20.4" outlineLevel="1">
      <c r="A116" s="234">
        <v>28</v>
      </c>
      <c r="B116" s="235" t="s">
        <v>2253</v>
      </c>
      <c r="C116" s="236" t="s">
        <v>2254</v>
      </c>
      <c r="D116" s="237" t="s">
        <v>260</v>
      </c>
      <c r="E116" s="238">
        <v>5</v>
      </c>
      <c r="F116" s="239"/>
      <c r="G116" s="240">
        <f>ROUND(E116*F116,2)</f>
        <v>0</v>
      </c>
      <c r="H116" s="239">
        <v>154.08</v>
      </c>
      <c r="I116" s="240">
        <f>ROUND(E116*H116,2)</f>
        <v>770.4</v>
      </c>
      <c r="J116" s="239">
        <v>242.42</v>
      </c>
      <c r="K116" s="240">
        <f>ROUND(E116*J116,2)</f>
        <v>1212.1</v>
      </c>
      <c r="L116" s="240">
        <v>21</v>
      </c>
      <c r="M116" s="240">
        <f>G116*(1+L116/100)</f>
        <v>0</v>
      </c>
      <c r="N116" s="238">
        <v>0.125</v>
      </c>
      <c r="O116" s="238">
        <f>ROUND(E116*N116,2)</f>
        <v>0.63</v>
      </c>
      <c r="P116" s="238">
        <v>0</v>
      </c>
      <c r="Q116" s="238">
        <f>ROUND(E116*P116,2)</f>
        <v>0</v>
      </c>
      <c r="R116" s="240" t="s">
        <v>2255</v>
      </c>
      <c r="S116" s="240" t="s">
        <v>2177</v>
      </c>
      <c r="T116" s="241">
        <v>0.52</v>
      </c>
      <c r="U116" s="241">
        <f>ROUND(E116*T116,2)</f>
        <v>2.6</v>
      </c>
      <c r="V116" s="241"/>
      <c r="W116" s="241" t="s">
        <v>2178</v>
      </c>
      <c r="X116" s="241" t="s">
        <v>2179</v>
      </c>
      <c r="Y116" s="242"/>
      <c r="Z116" s="242"/>
      <c r="AA116" s="242"/>
      <c r="AB116" s="242"/>
      <c r="AC116" s="242"/>
      <c r="AD116" s="242"/>
      <c r="AE116" s="242"/>
      <c r="AF116" s="242" t="s">
        <v>2180</v>
      </c>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row>
    <row r="117" spans="1:59" ht="15" outlineLevel="2">
      <c r="A117" s="243"/>
      <c r="B117" s="244"/>
      <c r="C117" s="601" t="s">
        <v>2256</v>
      </c>
      <c r="D117" s="602"/>
      <c r="E117" s="602"/>
      <c r="F117" s="602"/>
      <c r="G117" s="602"/>
      <c r="H117" s="241"/>
      <c r="I117" s="241"/>
      <c r="J117" s="241"/>
      <c r="K117" s="241"/>
      <c r="L117" s="241"/>
      <c r="M117" s="241"/>
      <c r="N117" s="245"/>
      <c r="O117" s="245"/>
      <c r="P117" s="245"/>
      <c r="Q117" s="245"/>
      <c r="R117" s="241"/>
      <c r="S117" s="241"/>
      <c r="T117" s="241"/>
      <c r="U117" s="241"/>
      <c r="V117" s="241"/>
      <c r="W117" s="241"/>
      <c r="X117" s="241"/>
      <c r="Y117" s="242"/>
      <c r="Z117" s="242"/>
      <c r="AA117" s="242"/>
      <c r="AB117" s="242"/>
      <c r="AC117" s="242"/>
      <c r="AD117" s="242"/>
      <c r="AE117" s="242"/>
      <c r="AF117" s="242" t="s">
        <v>2182</v>
      </c>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row>
    <row r="118" spans="1:59" ht="15" outlineLevel="1">
      <c r="A118" s="250">
        <v>29</v>
      </c>
      <c r="B118" s="251" t="s">
        <v>2257</v>
      </c>
      <c r="C118" s="252" t="s">
        <v>2258</v>
      </c>
      <c r="D118" s="253" t="s">
        <v>260</v>
      </c>
      <c r="E118" s="254">
        <v>5</v>
      </c>
      <c r="F118" s="255"/>
      <c r="G118" s="256">
        <f>ROUND(E118*F118,2)</f>
        <v>0</v>
      </c>
      <c r="H118" s="255">
        <v>401.5</v>
      </c>
      <c r="I118" s="256">
        <f>ROUND(E118*H118,2)</f>
        <v>2007.5</v>
      </c>
      <c r="J118" s="255">
        <v>0</v>
      </c>
      <c r="K118" s="256">
        <f>ROUND(E118*J118,2)</f>
        <v>0</v>
      </c>
      <c r="L118" s="256">
        <v>21</v>
      </c>
      <c r="M118" s="256">
        <f>G118*(1+L118/100)</f>
        <v>0</v>
      </c>
      <c r="N118" s="254">
        <v>0.00675</v>
      </c>
      <c r="O118" s="254">
        <f>ROUND(E118*N118,2)</f>
        <v>0.03</v>
      </c>
      <c r="P118" s="254">
        <v>0</v>
      </c>
      <c r="Q118" s="254">
        <f>ROUND(E118*P118,2)</f>
        <v>0</v>
      </c>
      <c r="R118" s="256" t="s">
        <v>2259</v>
      </c>
      <c r="S118" s="256" t="s">
        <v>2177</v>
      </c>
      <c r="T118" s="241">
        <v>0</v>
      </c>
      <c r="U118" s="241">
        <f>ROUND(E118*T118,2)</f>
        <v>0</v>
      </c>
      <c r="V118" s="241"/>
      <c r="W118" s="241" t="s">
        <v>2260</v>
      </c>
      <c r="X118" s="241" t="s">
        <v>2179</v>
      </c>
      <c r="Y118" s="242"/>
      <c r="Z118" s="242"/>
      <c r="AA118" s="242"/>
      <c r="AB118" s="242"/>
      <c r="AC118" s="242"/>
      <c r="AD118" s="242"/>
      <c r="AE118" s="242"/>
      <c r="AF118" s="242" t="s">
        <v>2261</v>
      </c>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row>
    <row r="119" spans="1:32" ht="15">
      <c r="A119" s="227" t="s">
        <v>2173</v>
      </c>
      <c r="B119" s="228" t="s">
        <v>774</v>
      </c>
      <c r="C119" s="229" t="s">
        <v>787</v>
      </c>
      <c r="D119" s="230"/>
      <c r="E119" s="231"/>
      <c r="F119" s="232"/>
      <c r="G119" s="232">
        <f>SUMIF(AF120:AF130,"&lt;&gt;NOR",G120:G130)</f>
        <v>0</v>
      </c>
      <c r="H119" s="232"/>
      <c r="I119" s="232">
        <f>SUM(I120:I130)</f>
        <v>306.35</v>
      </c>
      <c r="J119" s="232"/>
      <c r="K119" s="232">
        <f>SUM(K120:K130)</f>
        <v>140994.53</v>
      </c>
      <c r="L119" s="232"/>
      <c r="M119" s="232">
        <f>SUM(M120:M130)</f>
        <v>0</v>
      </c>
      <c r="N119" s="231"/>
      <c r="O119" s="231">
        <f>SUM(O120:O130)</f>
        <v>0.01</v>
      </c>
      <c r="P119" s="231"/>
      <c r="Q119" s="231">
        <f>SUM(Q120:Q130)</f>
        <v>24.110000000000003</v>
      </c>
      <c r="R119" s="232"/>
      <c r="S119" s="232"/>
      <c r="T119" s="233"/>
      <c r="U119" s="233">
        <f>SUM(U120:U130)</f>
        <v>300.22999999999996</v>
      </c>
      <c r="V119" s="233"/>
      <c r="W119" s="233"/>
      <c r="X119" s="233"/>
      <c r="AF119" s="210" t="s">
        <v>2174</v>
      </c>
    </row>
    <row r="120" spans="1:59" ht="15" outlineLevel="1">
      <c r="A120" s="234">
        <v>30</v>
      </c>
      <c r="B120" s="235" t="s">
        <v>2262</v>
      </c>
      <c r="C120" s="236" t="s">
        <v>2263</v>
      </c>
      <c r="D120" s="237" t="s">
        <v>81</v>
      </c>
      <c r="E120" s="238">
        <v>7.156</v>
      </c>
      <c r="F120" s="239"/>
      <c r="G120" s="240">
        <f>ROUND(E120*F120,2)</f>
        <v>0</v>
      </c>
      <c r="H120" s="239">
        <v>42.81</v>
      </c>
      <c r="I120" s="240">
        <f>ROUND(E120*H120,2)</f>
        <v>306.35</v>
      </c>
      <c r="J120" s="239">
        <v>4937.19</v>
      </c>
      <c r="K120" s="240">
        <f>ROUND(E120*J120,2)</f>
        <v>35330.53</v>
      </c>
      <c r="L120" s="240">
        <v>21</v>
      </c>
      <c r="M120" s="240">
        <f>G120*(1+L120/100)</f>
        <v>0</v>
      </c>
      <c r="N120" s="238">
        <v>0.00147</v>
      </c>
      <c r="O120" s="238">
        <f>ROUND(E120*N120,2)</f>
        <v>0.01</v>
      </c>
      <c r="P120" s="238">
        <v>2.4</v>
      </c>
      <c r="Q120" s="238">
        <f>ROUND(E120*P120,2)</f>
        <v>17.17</v>
      </c>
      <c r="R120" s="240" t="s">
        <v>2249</v>
      </c>
      <c r="S120" s="240" t="s">
        <v>2177</v>
      </c>
      <c r="T120" s="241">
        <v>8.5</v>
      </c>
      <c r="U120" s="241">
        <f>ROUND(E120*T120,2)</f>
        <v>60.83</v>
      </c>
      <c r="V120" s="241"/>
      <c r="W120" s="241" t="s">
        <v>2178</v>
      </c>
      <c r="X120" s="241" t="s">
        <v>2179</v>
      </c>
      <c r="Y120" s="242"/>
      <c r="Z120" s="242"/>
      <c r="AA120" s="242"/>
      <c r="AB120" s="242"/>
      <c r="AC120" s="242"/>
      <c r="AD120" s="242"/>
      <c r="AE120" s="242"/>
      <c r="AF120" s="242" t="s">
        <v>2180</v>
      </c>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row>
    <row r="121" spans="1:59" ht="21" outlineLevel="2">
      <c r="A121" s="243"/>
      <c r="B121" s="244"/>
      <c r="C121" s="601" t="s">
        <v>2264</v>
      </c>
      <c r="D121" s="602"/>
      <c r="E121" s="602"/>
      <c r="F121" s="602"/>
      <c r="G121" s="602"/>
      <c r="H121" s="241"/>
      <c r="I121" s="241"/>
      <c r="J121" s="241"/>
      <c r="K121" s="241"/>
      <c r="L121" s="241"/>
      <c r="M121" s="241"/>
      <c r="N121" s="245"/>
      <c r="O121" s="245"/>
      <c r="P121" s="245"/>
      <c r="Q121" s="245"/>
      <c r="R121" s="241"/>
      <c r="S121" s="241"/>
      <c r="T121" s="241"/>
      <c r="U121" s="241"/>
      <c r="V121" s="241"/>
      <c r="W121" s="241"/>
      <c r="X121" s="241"/>
      <c r="Y121" s="242"/>
      <c r="Z121" s="242"/>
      <c r="AA121" s="242"/>
      <c r="AB121" s="242"/>
      <c r="AC121" s="242"/>
      <c r="AD121" s="242"/>
      <c r="AE121" s="242"/>
      <c r="AF121" s="242" t="s">
        <v>2182</v>
      </c>
      <c r="AG121" s="242"/>
      <c r="AH121" s="242"/>
      <c r="AI121" s="242"/>
      <c r="AJ121" s="242"/>
      <c r="AK121" s="242"/>
      <c r="AL121" s="242"/>
      <c r="AM121" s="242"/>
      <c r="AN121" s="242"/>
      <c r="AO121" s="242"/>
      <c r="AP121" s="242"/>
      <c r="AQ121" s="242"/>
      <c r="AR121" s="242"/>
      <c r="AS121" s="242"/>
      <c r="AT121" s="242"/>
      <c r="AU121" s="242"/>
      <c r="AV121" s="242"/>
      <c r="AW121" s="242"/>
      <c r="AX121" s="242"/>
      <c r="AY121" s="242"/>
      <c r="AZ121" s="249" t="str">
        <f>C121</f>
        <v>nebo vybourání otvorů průřezové plochy přes 4 m2 ve zdivu železobetonovém, včetně pomocného lešení o výšce podlahy do 1900 mm a pro zatížení do 1,5 kPa  (150 kg/m2),</v>
      </c>
      <c r="BA121" s="242"/>
      <c r="BB121" s="242"/>
      <c r="BC121" s="242"/>
      <c r="BD121" s="242"/>
      <c r="BE121" s="242"/>
      <c r="BF121" s="242"/>
      <c r="BG121" s="242"/>
    </row>
    <row r="122" spans="1:59" ht="15" outlineLevel="2">
      <c r="A122" s="243"/>
      <c r="B122" s="244"/>
      <c r="C122" s="246" t="s">
        <v>2265</v>
      </c>
      <c r="D122" s="247"/>
      <c r="E122" s="248">
        <v>6.214</v>
      </c>
      <c r="F122" s="241"/>
      <c r="G122" s="241"/>
      <c r="H122" s="241"/>
      <c r="I122" s="241"/>
      <c r="J122" s="241"/>
      <c r="K122" s="241"/>
      <c r="L122" s="241"/>
      <c r="M122" s="241"/>
      <c r="N122" s="245"/>
      <c r="O122" s="245"/>
      <c r="P122" s="245"/>
      <c r="Q122" s="245"/>
      <c r="R122" s="241"/>
      <c r="S122" s="241"/>
      <c r="T122" s="241"/>
      <c r="U122" s="241"/>
      <c r="V122" s="241"/>
      <c r="W122" s="241"/>
      <c r="X122" s="241"/>
      <c r="Y122" s="242"/>
      <c r="Z122" s="242"/>
      <c r="AA122" s="242"/>
      <c r="AB122" s="242"/>
      <c r="AC122" s="242"/>
      <c r="AD122" s="242"/>
      <c r="AE122" s="242"/>
      <c r="AF122" s="242" t="s">
        <v>1418</v>
      </c>
      <c r="AG122" s="242">
        <v>0</v>
      </c>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row>
    <row r="123" spans="1:59" ht="15" outlineLevel="3">
      <c r="A123" s="243"/>
      <c r="B123" s="244"/>
      <c r="C123" s="246" t="s">
        <v>2266</v>
      </c>
      <c r="D123" s="247"/>
      <c r="E123" s="248">
        <v>0.942</v>
      </c>
      <c r="F123" s="241"/>
      <c r="G123" s="241"/>
      <c r="H123" s="241"/>
      <c r="I123" s="241"/>
      <c r="J123" s="241"/>
      <c r="K123" s="241"/>
      <c r="L123" s="241"/>
      <c r="M123" s="241"/>
      <c r="N123" s="245"/>
      <c r="O123" s="245"/>
      <c r="P123" s="245"/>
      <c r="Q123" s="245"/>
      <c r="R123" s="241"/>
      <c r="S123" s="241"/>
      <c r="T123" s="241"/>
      <c r="U123" s="241"/>
      <c r="V123" s="241"/>
      <c r="W123" s="241"/>
      <c r="X123" s="241"/>
      <c r="Y123" s="242"/>
      <c r="Z123" s="242"/>
      <c r="AA123" s="242"/>
      <c r="AB123" s="242"/>
      <c r="AC123" s="242"/>
      <c r="AD123" s="242"/>
      <c r="AE123" s="242"/>
      <c r="AF123" s="242" t="s">
        <v>1418</v>
      </c>
      <c r="AG123" s="242">
        <v>0</v>
      </c>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row>
    <row r="124" spans="1:59" ht="15" outlineLevel="1">
      <c r="A124" s="234">
        <v>31</v>
      </c>
      <c r="B124" s="235" t="s">
        <v>2267</v>
      </c>
      <c r="C124" s="236" t="s">
        <v>2268</v>
      </c>
      <c r="D124" s="237" t="s">
        <v>74</v>
      </c>
      <c r="E124" s="238">
        <v>580</v>
      </c>
      <c r="F124" s="239"/>
      <c r="G124" s="240">
        <f>ROUND(E124*F124,2)</f>
        <v>0</v>
      </c>
      <c r="H124" s="239">
        <v>0</v>
      </c>
      <c r="I124" s="240">
        <f>ROUND(E124*H124,2)</f>
        <v>0</v>
      </c>
      <c r="J124" s="239">
        <v>168</v>
      </c>
      <c r="K124" s="240">
        <f>ROUND(E124*J124,2)</f>
        <v>97440</v>
      </c>
      <c r="L124" s="240">
        <v>21</v>
      </c>
      <c r="M124" s="240">
        <f>G124*(1+L124/100)</f>
        <v>0</v>
      </c>
      <c r="N124" s="238">
        <v>0</v>
      </c>
      <c r="O124" s="238">
        <f>ROUND(E124*N124,2)</f>
        <v>0</v>
      </c>
      <c r="P124" s="238">
        <v>0.01</v>
      </c>
      <c r="Q124" s="238">
        <f>ROUND(E124*P124,2)</f>
        <v>5.8</v>
      </c>
      <c r="R124" s="240" t="s">
        <v>2255</v>
      </c>
      <c r="S124" s="240" t="s">
        <v>2177</v>
      </c>
      <c r="T124" s="241">
        <v>0.4</v>
      </c>
      <c r="U124" s="241">
        <f>ROUND(E124*T124,2)</f>
        <v>232</v>
      </c>
      <c r="V124" s="241"/>
      <c r="W124" s="241" t="s">
        <v>2178</v>
      </c>
      <c r="X124" s="241" t="s">
        <v>2179</v>
      </c>
      <c r="Y124" s="242"/>
      <c r="Z124" s="242"/>
      <c r="AA124" s="242"/>
      <c r="AB124" s="242"/>
      <c r="AC124" s="242"/>
      <c r="AD124" s="242"/>
      <c r="AE124" s="242"/>
      <c r="AF124" s="242" t="s">
        <v>2180</v>
      </c>
      <c r="AG124" s="242"/>
      <c r="AH124" s="242"/>
      <c r="AI124" s="242"/>
      <c r="AJ124" s="242"/>
      <c r="AK124" s="242"/>
      <c r="AL124" s="242"/>
      <c r="AM124" s="242"/>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row>
    <row r="125" spans="1:59" ht="15" outlineLevel="2">
      <c r="A125" s="243"/>
      <c r="B125" s="244"/>
      <c r="C125" s="246" t="s">
        <v>2269</v>
      </c>
      <c r="D125" s="247"/>
      <c r="E125" s="248">
        <v>14</v>
      </c>
      <c r="F125" s="241"/>
      <c r="G125" s="241"/>
      <c r="H125" s="241"/>
      <c r="I125" s="241"/>
      <c r="J125" s="241"/>
      <c r="K125" s="241"/>
      <c r="L125" s="241"/>
      <c r="M125" s="241"/>
      <c r="N125" s="245"/>
      <c r="O125" s="245"/>
      <c r="P125" s="245"/>
      <c r="Q125" s="245"/>
      <c r="R125" s="241"/>
      <c r="S125" s="241"/>
      <c r="T125" s="241"/>
      <c r="U125" s="241"/>
      <c r="V125" s="241"/>
      <c r="W125" s="241"/>
      <c r="X125" s="241"/>
      <c r="Y125" s="242"/>
      <c r="Z125" s="242"/>
      <c r="AA125" s="242"/>
      <c r="AB125" s="242"/>
      <c r="AC125" s="242"/>
      <c r="AD125" s="242"/>
      <c r="AE125" s="242"/>
      <c r="AF125" s="242" t="s">
        <v>1418</v>
      </c>
      <c r="AG125" s="242">
        <v>0</v>
      </c>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row>
    <row r="126" spans="1:59" ht="15" outlineLevel="3">
      <c r="A126" s="243"/>
      <c r="B126" s="244"/>
      <c r="C126" s="246" t="s">
        <v>2270</v>
      </c>
      <c r="D126" s="247"/>
      <c r="E126" s="248">
        <v>531</v>
      </c>
      <c r="F126" s="241"/>
      <c r="G126" s="241"/>
      <c r="H126" s="241"/>
      <c r="I126" s="241"/>
      <c r="J126" s="241"/>
      <c r="K126" s="241"/>
      <c r="L126" s="241"/>
      <c r="M126" s="241"/>
      <c r="N126" s="245"/>
      <c r="O126" s="245"/>
      <c r="P126" s="245"/>
      <c r="Q126" s="245"/>
      <c r="R126" s="241"/>
      <c r="S126" s="241"/>
      <c r="T126" s="241"/>
      <c r="U126" s="241"/>
      <c r="V126" s="241"/>
      <c r="W126" s="241"/>
      <c r="X126" s="241"/>
      <c r="Y126" s="242"/>
      <c r="Z126" s="242"/>
      <c r="AA126" s="242"/>
      <c r="AB126" s="242"/>
      <c r="AC126" s="242"/>
      <c r="AD126" s="242"/>
      <c r="AE126" s="242"/>
      <c r="AF126" s="242" t="s">
        <v>1418</v>
      </c>
      <c r="AG126" s="242">
        <v>0</v>
      </c>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row>
    <row r="127" spans="1:59" ht="15" outlineLevel="3">
      <c r="A127" s="243"/>
      <c r="B127" s="244"/>
      <c r="C127" s="246" t="s">
        <v>2271</v>
      </c>
      <c r="D127" s="247"/>
      <c r="E127" s="248">
        <v>35</v>
      </c>
      <c r="F127" s="241"/>
      <c r="G127" s="241"/>
      <c r="H127" s="241"/>
      <c r="I127" s="241"/>
      <c r="J127" s="241"/>
      <c r="K127" s="241"/>
      <c r="L127" s="241"/>
      <c r="M127" s="241"/>
      <c r="N127" s="245"/>
      <c r="O127" s="245"/>
      <c r="P127" s="245"/>
      <c r="Q127" s="245"/>
      <c r="R127" s="241"/>
      <c r="S127" s="241"/>
      <c r="T127" s="241"/>
      <c r="U127" s="241"/>
      <c r="V127" s="241"/>
      <c r="W127" s="241"/>
      <c r="X127" s="241"/>
      <c r="Y127" s="242"/>
      <c r="Z127" s="242"/>
      <c r="AA127" s="242"/>
      <c r="AB127" s="242"/>
      <c r="AC127" s="242"/>
      <c r="AD127" s="242"/>
      <c r="AE127" s="242"/>
      <c r="AF127" s="242" t="s">
        <v>1418</v>
      </c>
      <c r="AG127" s="242">
        <v>0</v>
      </c>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row>
    <row r="128" spans="1:59" ht="15" outlineLevel="1">
      <c r="A128" s="234">
        <v>32</v>
      </c>
      <c r="B128" s="235" t="s">
        <v>2272</v>
      </c>
      <c r="C128" s="236" t="s">
        <v>2273</v>
      </c>
      <c r="D128" s="237" t="s">
        <v>260</v>
      </c>
      <c r="E128" s="238">
        <v>4</v>
      </c>
      <c r="F128" s="239"/>
      <c r="G128" s="240">
        <f>ROUND(E128*F128,2)</f>
        <v>0</v>
      </c>
      <c r="H128" s="239">
        <v>0</v>
      </c>
      <c r="I128" s="240">
        <f>ROUND(E128*H128,2)</f>
        <v>0</v>
      </c>
      <c r="J128" s="239">
        <v>1056</v>
      </c>
      <c r="K128" s="240">
        <f>ROUND(E128*J128,2)</f>
        <v>4224</v>
      </c>
      <c r="L128" s="240">
        <v>21</v>
      </c>
      <c r="M128" s="240">
        <f>G128*(1+L128/100)</f>
        <v>0</v>
      </c>
      <c r="N128" s="238">
        <v>0</v>
      </c>
      <c r="O128" s="238">
        <f>ROUND(E128*N128,2)</f>
        <v>0</v>
      </c>
      <c r="P128" s="238">
        <v>0.285</v>
      </c>
      <c r="Q128" s="238">
        <f>ROUND(E128*P128,2)</f>
        <v>1.14</v>
      </c>
      <c r="R128" s="240" t="s">
        <v>2274</v>
      </c>
      <c r="S128" s="240" t="s">
        <v>2177</v>
      </c>
      <c r="T128" s="241">
        <v>1.85</v>
      </c>
      <c r="U128" s="241">
        <f>ROUND(E128*T128,2)</f>
        <v>7.4</v>
      </c>
      <c r="V128" s="241"/>
      <c r="W128" s="241" t="s">
        <v>2178</v>
      </c>
      <c r="X128" s="241" t="s">
        <v>2179</v>
      </c>
      <c r="Y128" s="242"/>
      <c r="Z128" s="242"/>
      <c r="AA128" s="242"/>
      <c r="AB128" s="242"/>
      <c r="AC128" s="242"/>
      <c r="AD128" s="242"/>
      <c r="AE128" s="242"/>
      <c r="AF128" s="242" t="s">
        <v>2180</v>
      </c>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row>
    <row r="129" spans="1:59" ht="15" outlineLevel="2">
      <c r="A129" s="243"/>
      <c r="B129" s="244"/>
      <c r="C129" s="246" t="s">
        <v>2275</v>
      </c>
      <c r="D129" s="247"/>
      <c r="E129" s="248">
        <v>4</v>
      </c>
      <c r="F129" s="241"/>
      <c r="G129" s="241"/>
      <c r="H129" s="241"/>
      <c r="I129" s="241"/>
      <c r="J129" s="241"/>
      <c r="K129" s="241"/>
      <c r="L129" s="241"/>
      <c r="M129" s="241"/>
      <c r="N129" s="245"/>
      <c r="O129" s="245"/>
      <c r="P129" s="245"/>
      <c r="Q129" s="245"/>
      <c r="R129" s="241"/>
      <c r="S129" s="241"/>
      <c r="T129" s="241"/>
      <c r="U129" s="241"/>
      <c r="V129" s="241"/>
      <c r="W129" s="241"/>
      <c r="X129" s="241"/>
      <c r="Y129" s="242"/>
      <c r="Z129" s="242"/>
      <c r="AA129" s="242"/>
      <c r="AB129" s="242"/>
      <c r="AC129" s="242"/>
      <c r="AD129" s="242"/>
      <c r="AE129" s="242"/>
      <c r="AF129" s="242" t="s">
        <v>1418</v>
      </c>
      <c r="AG129" s="242">
        <v>0</v>
      </c>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row>
    <row r="130" spans="1:59" ht="15" outlineLevel="1">
      <c r="A130" s="250">
        <v>33</v>
      </c>
      <c r="B130" s="251" t="s">
        <v>2276</v>
      </c>
      <c r="C130" s="252" t="s">
        <v>2277</v>
      </c>
      <c r="D130" s="253" t="s">
        <v>1469</v>
      </c>
      <c r="E130" s="254">
        <v>2</v>
      </c>
      <c r="F130" s="255"/>
      <c r="G130" s="256">
        <f>ROUND(E130*F130,2)</f>
        <v>0</v>
      </c>
      <c r="H130" s="255">
        <v>0</v>
      </c>
      <c r="I130" s="256">
        <f>ROUND(E130*H130,2)</f>
        <v>0</v>
      </c>
      <c r="J130" s="255">
        <v>2000</v>
      </c>
      <c r="K130" s="256">
        <f>ROUND(E130*J130,2)</f>
        <v>4000</v>
      </c>
      <c r="L130" s="256">
        <v>21</v>
      </c>
      <c r="M130" s="256">
        <f>G130*(1+L130/100)</f>
        <v>0</v>
      </c>
      <c r="N130" s="254">
        <v>0</v>
      </c>
      <c r="O130" s="254">
        <f>ROUND(E130*N130,2)</f>
        <v>0</v>
      </c>
      <c r="P130" s="254">
        <v>0</v>
      </c>
      <c r="Q130" s="254">
        <f>ROUND(E130*P130,2)</f>
        <v>0</v>
      </c>
      <c r="R130" s="256"/>
      <c r="S130" s="256" t="s">
        <v>2252</v>
      </c>
      <c r="T130" s="241">
        <v>0</v>
      </c>
      <c r="U130" s="241">
        <f>ROUND(E130*T130,2)</f>
        <v>0</v>
      </c>
      <c r="V130" s="241"/>
      <c r="W130" s="241" t="s">
        <v>2278</v>
      </c>
      <c r="X130" s="241" t="s">
        <v>2179</v>
      </c>
      <c r="Y130" s="242"/>
      <c r="Z130" s="242"/>
      <c r="AA130" s="242"/>
      <c r="AB130" s="242"/>
      <c r="AC130" s="242"/>
      <c r="AD130" s="242"/>
      <c r="AE130" s="242"/>
      <c r="AF130" s="242" t="s">
        <v>2279</v>
      </c>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row>
    <row r="131" spans="1:32" ht="15">
      <c r="A131" s="227" t="s">
        <v>2173</v>
      </c>
      <c r="B131" s="228" t="s">
        <v>779</v>
      </c>
      <c r="C131" s="229" t="s">
        <v>2280</v>
      </c>
      <c r="D131" s="230"/>
      <c r="E131" s="231"/>
      <c r="F131" s="232"/>
      <c r="G131" s="232">
        <f>SUMIF(AF132:AF137,"&lt;&gt;NOR",G132:G137)</f>
        <v>0</v>
      </c>
      <c r="H131" s="232"/>
      <c r="I131" s="232">
        <f>SUM(I132:I137)</f>
        <v>1962.74</v>
      </c>
      <c r="J131" s="232"/>
      <c r="K131" s="232">
        <f>SUM(K132:K137)</f>
        <v>33633.52</v>
      </c>
      <c r="L131" s="232"/>
      <c r="M131" s="232">
        <f>SUM(M132:M137)</f>
        <v>0</v>
      </c>
      <c r="N131" s="231"/>
      <c r="O131" s="231">
        <f>SUM(O132:O137)</f>
        <v>0.07</v>
      </c>
      <c r="P131" s="231"/>
      <c r="Q131" s="231">
        <f>SUM(Q132:Q137)</f>
        <v>24.65</v>
      </c>
      <c r="R131" s="232"/>
      <c r="S131" s="232"/>
      <c r="T131" s="233"/>
      <c r="U131" s="233">
        <f>SUM(U132:U137)</f>
        <v>55.47</v>
      </c>
      <c r="V131" s="233"/>
      <c r="W131" s="233"/>
      <c r="X131" s="233"/>
      <c r="AF131" s="210" t="s">
        <v>2174</v>
      </c>
    </row>
    <row r="132" spans="1:59" ht="15" outlineLevel="1">
      <c r="A132" s="234">
        <v>34</v>
      </c>
      <c r="B132" s="235" t="s">
        <v>2281</v>
      </c>
      <c r="C132" s="236" t="s">
        <v>2282</v>
      </c>
      <c r="D132" s="237" t="s">
        <v>81</v>
      </c>
      <c r="E132" s="238">
        <v>46.546</v>
      </c>
      <c r="F132" s="239"/>
      <c r="G132" s="240">
        <f>ROUND(E132*F132,2)</f>
        <v>0</v>
      </c>
      <c r="H132" s="239">
        <v>21.66</v>
      </c>
      <c r="I132" s="240">
        <f>ROUND(E132*H132,2)</f>
        <v>1008.19</v>
      </c>
      <c r="J132" s="239">
        <v>103.34</v>
      </c>
      <c r="K132" s="240">
        <f>ROUND(E132*J132,2)</f>
        <v>4810.06</v>
      </c>
      <c r="L132" s="240">
        <v>21</v>
      </c>
      <c r="M132" s="240">
        <f>G132*(1+L132/100)</f>
        <v>0</v>
      </c>
      <c r="N132" s="238">
        <v>0.00074</v>
      </c>
      <c r="O132" s="238">
        <f>ROUND(E132*N132,2)</f>
        <v>0.03</v>
      </c>
      <c r="P132" s="238">
        <v>0.039</v>
      </c>
      <c r="Q132" s="238">
        <f>ROUND(E132*P132,2)</f>
        <v>1.82</v>
      </c>
      <c r="R132" s="240" t="s">
        <v>2283</v>
      </c>
      <c r="S132" s="240" t="s">
        <v>2177</v>
      </c>
      <c r="T132" s="241">
        <v>0.171</v>
      </c>
      <c r="U132" s="241">
        <f>ROUND(E132*T132,2)</f>
        <v>7.96</v>
      </c>
      <c r="V132" s="241"/>
      <c r="W132" s="241" t="s">
        <v>2178</v>
      </c>
      <c r="X132" s="241" t="s">
        <v>2179</v>
      </c>
      <c r="Y132" s="242"/>
      <c r="Z132" s="242"/>
      <c r="AA132" s="242"/>
      <c r="AB132" s="242"/>
      <c r="AC132" s="242"/>
      <c r="AD132" s="242"/>
      <c r="AE132" s="242"/>
      <c r="AF132" s="242" t="s">
        <v>2180</v>
      </c>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row>
    <row r="133" spans="1:59" ht="15" outlineLevel="2">
      <c r="A133" s="243"/>
      <c r="B133" s="244"/>
      <c r="C133" s="590" t="s">
        <v>2284</v>
      </c>
      <c r="D133" s="591"/>
      <c r="E133" s="591"/>
      <c r="F133" s="591"/>
      <c r="G133" s="591"/>
      <c r="H133" s="241"/>
      <c r="I133" s="241"/>
      <c r="J133" s="241"/>
      <c r="K133" s="241"/>
      <c r="L133" s="241"/>
      <c r="M133" s="241"/>
      <c r="N133" s="245"/>
      <c r="O133" s="245"/>
      <c r="P133" s="245"/>
      <c r="Q133" s="245"/>
      <c r="R133" s="241"/>
      <c r="S133" s="241"/>
      <c r="T133" s="241"/>
      <c r="U133" s="241"/>
      <c r="V133" s="241"/>
      <c r="W133" s="241"/>
      <c r="X133" s="241"/>
      <c r="Y133" s="242"/>
      <c r="Z133" s="242"/>
      <c r="AA133" s="242"/>
      <c r="AB133" s="242"/>
      <c r="AC133" s="242"/>
      <c r="AD133" s="242"/>
      <c r="AE133" s="242"/>
      <c r="AF133" s="242" t="s">
        <v>2285</v>
      </c>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row>
    <row r="134" spans="1:59" ht="15" outlineLevel="2">
      <c r="A134" s="243"/>
      <c r="B134" s="244"/>
      <c r="C134" s="246" t="s">
        <v>2286</v>
      </c>
      <c r="D134" s="247"/>
      <c r="E134" s="248">
        <v>46.546</v>
      </c>
      <c r="F134" s="241"/>
      <c r="G134" s="241"/>
      <c r="H134" s="241"/>
      <c r="I134" s="241"/>
      <c r="J134" s="241"/>
      <c r="K134" s="241"/>
      <c r="L134" s="241"/>
      <c r="M134" s="241"/>
      <c r="N134" s="245"/>
      <c r="O134" s="245"/>
      <c r="P134" s="245"/>
      <c r="Q134" s="245"/>
      <c r="R134" s="241"/>
      <c r="S134" s="241"/>
      <c r="T134" s="241"/>
      <c r="U134" s="241"/>
      <c r="V134" s="241"/>
      <c r="W134" s="241"/>
      <c r="X134" s="241"/>
      <c r="Y134" s="242"/>
      <c r="Z134" s="242"/>
      <c r="AA134" s="242"/>
      <c r="AB134" s="242"/>
      <c r="AC134" s="242"/>
      <c r="AD134" s="242"/>
      <c r="AE134" s="242"/>
      <c r="AF134" s="242" t="s">
        <v>1418</v>
      </c>
      <c r="AG134" s="242">
        <v>0</v>
      </c>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row>
    <row r="135" spans="1:59" ht="20.4" outlineLevel="1">
      <c r="A135" s="234">
        <v>35</v>
      </c>
      <c r="B135" s="235" t="s">
        <v>2287</v>
      </c>
      <c r="C135" s="236" t="s">
        <v>2288</v>
      </c>
      <c r="D135" s="237" t="s">
        <v>81</v>
      </c>
      <c r="E135" s="238">
        <v>48.5775</v>
      </c>
      <c r="F135" s="239"/>
      <c r="G135" s="240">
        <f>ROUND(E135*F135,2)</f>
        <v>0</v>
      </c>
      <c r="H135" s="239">
        <v>19.65</v>
      </c>
      <c r="I135" s="240">
        <f>ROUND(E135*H135,2)</f>
        <v>954.55</v>
      </c>
      <c r="J135" s="239">
        <v>593.35</v>
      </c>
      <c r="K135" s="240">
        <f>ROUND(E135*J135,2)</f>
        <v>28823.46</v>
      </c>
      <c r="L135" s="240">
        <v>21</v>
      </c>
      <c r="M135" s="240">
        <f>G135*(1+L135/100)</f>
        <v>0</v>
      </c>
      <c r="N135" s="238">
        <v>0.00075</v>
      </c>
      <c r="O135" s="238">
        <f>ROUND(E135*N135,2)</f>
        <v>0.04</v>
      </c>
      <c r="P135" s="238">
        <v>0.47</v>
      </c>
      <c r="Q135" s="238">
        <f>ROUND(E135*P135,2)</f>
        <v>22.83</v>
      </c>
      <c r="R135" s="240" t="s">
        <v>2283</v>
      </c>
      <c r="S135" s="240" t="s">
        <v>2177</v>
      </c>
      <c r="T135" s="241">
        <v>0.978</v>
      </c>
      <c r="U135" s="241">
        <f>ROUND(E135*T135,2)</f>
        <v>47.51</v>
      </c>
      <c r="V135" s="241"/>
      <c r="W135" s="241" t="s">
        <v>2178</v>
      </c>
      <c r="X135" s="241" t="s">
        <v>2179</v>
      </c>
      <c r="Y135" s="242"/>
      <c r="Z135" s="242"/>
      <c r="AA135" s="242"/>
      <c r="AB135" s="242"/>
      <c r="AC135" s="242"/>
      <c r="AD135" s="242"/>
      <c r="AE135" s="242"/>
      <c r="AF135" s="242" t="s">
        <v>2180</v>
      </c>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row>
    <row r="136" spans="1:59" ht="15" outlineLevel="2">
      <c r="A136" s="243"/>
      <c r="B136" s="244"/>
      <c r="C136" s="590" t="s">
        <v>2284</v>
      </c>
      <c r="D136" s="591"/>
      <c r="E136" s="591"/>
      <c r="F136" s="591"/>
      <c r="G136" s="591"/>
      <c r="H136" s="241"/>
      <c r="I136" s="241"/>
      <c r="J136" s="241"/>
      <c r="K136" s="241"/>
      <c r="L136" s="241"/>
      <c r="M136" s="241"/>
      <c r="N136" s="245"/>
      <c r="O136" s="245"/>
      <c r="P136" s="245"/>
      <c r="Q136" s="245"/>
      <c r="R136" s="241"/>
      <c r="S136" s="241"/>
      <c r="T136" s="241"/>
      <c r="U136" s="241"/>
      <c r="V136" s="241"/>
      <c r="W136" s="241"/>
      <c r="X136" s="241"/>
      <c r="Y136" s="242"/>
      <c r="Z136" s="242"/>
      <c r="AA136" s="242"/>
      <c r="AB136" s="242"/>
      <c r="AC136" s="242"/>
      <c r="AD136" s="242"/>
      <c r="AE136" s="242"/>
      <c r="AF136" s="242" t="s">
        <v>2285</v>
      </c>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row>
    <row r="137" spans="1:59" ht="15" outlineLevel="2">
      <c r="A137" s="243"/>
      <c r="B137" s="244"/>
      <c r="C137" s="246" t="s">
        <v>2289</v>
      </c>
      <c r="D137" s="247"/>
      <c r="E137" s="248">
        <v>48.5775</v>
      </c>
      <c r="F137" s="241"/>
      <c r="G137" s="241"/>
      <c r="H137" s="241"/>
      <c r="I137" s="241"/>
      <c r="J137" s="241"/>
      <c r="K137" s="241"/>
      <c r="L137" s="241"/>
      <c r="M137" s="241"/>
      <c r="N137" s="245"/>
      <c r="O137" s="245"/>
      <c r="P137" s="245"/>
      <c r="Q137" s="245"/>
      <c r="R137" s="241"/>
      <c r="S137" s="241"/>
      <c r="T137" s="241"/>
      <c r="U137" s="241"/>
      <c r="V137" s="241"/>
      <c r="W137" s="241"/>
      <c r="X137" s="241"/>
      <c r="Y137" s="242"/>
      <c r="Z137" s="242"/>
      <c r="AA137" s="242"/>
      <c r="AB137" s="242"/>
      <c r="AC137" s="242"/>
      <c r="AD137" s="242"/>
      <c r="AE137" s="242"/>
      <c r="AF137" s="242" t="s">
        <v>1418</v>
      </c>
      <c r="AG137" s="242">
        <v>0</v>
      </c>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row>
    <row r="138" spans="1:32" ht="15">
      <c r="A138" s="227" t="s">
        <v>2173</v>
      </c>
      <c r="B138" s="228" t="s">
        <v>2290</v>
      </c>
      <c r="C138" s="229" t="s">
        <v>2291</v>
      </c>
      <c r="D138" s="230"/>
      <c r="E138" s="231"/>
      <c r="F138" s="232"/>
      <c r="G138" s="232">
        <f>SUMIF(AF139:AF143,"&lt;&gt;NOR",G139:G143)</f>
        <v>0</v>
      </c>
      <c r="H138" s="232"/>
      <c r="I138" s="232">
        <f>SUM(I139:I143)</f>
        <v>1473.7</v>
      </c>
      <c r="J138" s="232"/>
      <c r="K138" s="232">
        <f>SUM(K139:K143)</f>
        <v>1774.5</v>
      </c>
      <c r="L138" s="232"/>
      <c r="M138" s="232">
        <f>SUM(M139:M143)</f>
        <v>0</v>
      </c>
      <c r="N138" s="231"/>
      <c r="O138" s="231">
        <f>SUM(O139:O143)</f>
        <v>0.03</v>
      </c>
      <c r="P138" s="231"/>
      <c r="Q138" s="231">
        <f>SUM(Q139:Q143)</f>
        <v>0</v>
      </c>
      <c r="R138" s="232"/>
      <c r="S138" s="232"/>
      <c r="T138" s="233"/>
      <c r="U138" s="233">
        <f>SUM(U139:U143)</f>
        <v>3.64</v>
      </c>
      <c r="V138" s="233"/>
      <c r="W138" s="233"/>
      <c r="X138" s="233"/>
      <c r="AF138" s="210" t="s">
        <v>2174</v>
      </c>
    </row>
    <row r="139" spans="1:59" ht="15" outlineLevel="1">
      <c r="A139" s="234">
        <v>36</v>
      </c>
      <c r="B139" s="235" t="s">
        <v>2292</v>
      </c>
      <c r="C139" s="236" t="s">
        <v>2293</v>
      </c>
      <c r="D139" s="237" t="s">
        <v>74</v>
      </c>
      <c r="E139" s="238">
        <v>13</v>
      </c>
      <c r="F139" s="239"/>
      <c r="G139" s="240">
        <f>ROUND(E139*F139,2)</f>
        <v>0</v>
      </c>
      <c r="H139" s="239">
        <v>0</v>
      </c>
      <c r="I139" s="240">
        <f>ROUND(E139*H139,2)</f>
        <v>0</v>
      </c>
      <c r="J139" s="239">
        <v>136.5</v>
      </c>
      <c r="K139" s="240">
        <f>ROUND(E139*J139,2)</f>
        <v>1774.5</v>
      </c>
      <c r="L139" s="240">
        <v>21</v>
      </c>
      <c r="M139" s="240">
        <f>G139*(1+L139/100)</f>
        <v>0</v>
      </c>
      <c r="N139" s="238">
        <v>0</v>
      </c>
      <c r="O139" s="238">
        <f>ROUND(E139*N139,2)</f>
        <v>0</v>
      </c>
      <c r="P139" s="238">
        <v>0</v>
      </c>
      <c r="Q139" s="238">
        <f>ROUND(E139*P139,2)</f>
        <v>0</v>
      </c>
      <c r="R139" s="240" t="s">
        <v>2274</v>
      </c>
      <c r="S139" s="240" t="s">
        <v>2177</v>
      </c>
      <c r="T139" s="241">
        <v>0.28</v>
      </c>
      <c r="U139" s="241">
        <f>ROUND(E139*T139,2)</f>
        <v>3.64</v>
      </c>
      <c r="V139" s="241"/>
      <c r="W139" s="241" t="s">
        <v>2178</v>
      </c>
      <c r="X139" s="241" t="s">
        <v>2179</v>
      </c>
      <c r="Y139" s="242"/>
      <c r="Z139" s="242"/>
      <c r="AA139" s="242"/>
      <c r="AB139" s="242"/>
      <c r="AC139" s="242"/>
      <c r="AD139" s="242"/>
      <c r="AE139" s="242"/>
      <c r="AF139" s="242" t="s">
        <v>2180</v>
      </c>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row>
    <row r="140" spans="1:59" ht="15" outlineLevel="2">
      <c r="A140" s="243"/>
      <c r="B140" s="244"/>
      <c r="C140" s="246" t="s">
        <v>2294</v>
      </c>
      <c r="D140" s="247"/>
      <c r="E140" s="248">
        <v>13</v>
      </c>
      <c r="F140" s="241"/>
      <c r="G140" s="241"/>
      <c r="H140" s="241"/>
      <c r="I140" s="241"/>
      <c r="J140" s="241"/>
      <c r="K140" s="241"/>
      <c r="L140" s="241"/>
      <c r="M140" s="241"/>
      <c r="N140" s="245"/>
      <c r="O140" s="245"/>
      <c r="P140" s="245"/>
      <c r="Q140" s="245"/>
      <c r="R140" s="241"/>
      <c r="S140" s="241"/>
      <c r="T140" s="241"/>
      <c r="U140" s="241"/>
      <c r="V140" s="241"/>
      <c r="W140" s="241"/>
      <c r="X140" s="241"/>
      <c r="Y140" s="242"/>
      <c r="Z140" s="242"/>
      <c r="AA140" s="242"/>
      <c r="AB140" s="242"/>
      <c r="AC140" s="242"/>
      <c r="AD140" s="242"/>
      <c r="AE140" s="242"/>
      <c r="AF140" s="242" t="s">
        <v>1418</v>
      </c>
      <c r="AG140" s="242">
        <v>0</v>
      </c>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row>
    <row r="141" spans="1:59" ht="20.4" outlineLevel="1">
      <c r="A141" s="250">
        <v>37</v>
      </c>
      <c r="B141" s="251" t="s">
        <v>2295</v>
      </c>
      <c r="C141" s="252" t="s">
        <v>2296</v>
      </c>
      <c r="D141" s="253" t="s">
        <v>74</v>
      </c>
      <c r="E141" s="254">
        <v>13</v>
      </c>
      <c r="F141" s="255"/>
      <c r="G141" s="256">
        <f>ROUND(E141*F141,2)</f>
        <v>0</v>
      </c>
      <c r="H141" s="255">
        <v>104.5</v>
      </c>
      <c r="I141" s="256">
        <f>ROUND(E141*H141,2)</f>
        <v>1358.5</v>
      </c>
      <c r="J141" s="255">
        <v>0</v>
      </c>
      <c r="K141" s="256">
        <f>ROUND(E141*J141,2)</f>
        <v>0</v>
      </c>
      <c r="L141" s="256">
        <v>21</v>
      </c>
      <c r="M141" s="256">
        <f>G141*(1+L141/100)</f>
        <v>0</v>
      </c>
      <c r="N141" s="254">
        <v>0.00198</v>
      </c>
      <c r="O141" s="254">
        <f>ROUND(E141*N141,2)</f>
        <v>0.03</v>
      </c>
      <c r="P141" s="254">
        <v>0</v>
      </c>
      <c r="Q141" s="254">
        <f>ROUND(E141*P141,2)</f>
        <v>0</v>
      </c>
      <c r="R141" s="256" t="s">
        <v>2259</v>
      </c>
      <c r="S141" s="256" t="s">
        <v>2177</v>
      </c>
      <c r="T141" s="241">
        <v>0</v>
      </c>
      <c r="U141" s="241">
        <f>ROUND(E141*T141,2)</f>
        <v>0</v>
      </c>
      <c r="V141" s="241"/>
      <c r="W141" s="241" t="s">
        <v>2260</v>
      </c>
      <c r="X141" s="241" t="s">
        <v>2179</v>
      </c>
      <c r="Y141" s="242"/>
      <c r="Z141" s="242"/>
      <c r="AA141" s="242"/>
      <c r="AB141" s="242"/>
      <c r="AC141" s="242"/>
      <c r="AD141" s="242"/>
      <c r="AE141" s="242"/>
      <c r="AF141" s="242" t="s">
        <v>2261</v>
      </c>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row>
    <row r="142" spans="1:59" ht="15" outlineLevel="1">
      <c r="A142" s="234">
        <v>38</v>
      </c>
      <c r="B142" s="235" t="s">
        <v>2297</v>
      </c>
      <c r="C142" s="236" t="s">
        <v>2298</v>
      </c>
      <c r="D142" s="237" t="s">
        <v>260</v>
      </c>
      <c r="E142" s="238">
        <v>6</v>
      </c>
      <c r="F142" s="239"/>
      <c r="G142" s="240">
        <f>ROUND(E142*F142,2)</f>
        <v>0</v>
      </c>
      <c r="H142" s="239">
        <v>19.2</v>
      </c>
      <c r="I142" s="240">
        <f>ROUND(E142*H142,2)</f>
        <v>115.2</v>
      </c>
      <c r="J142" s="239">
        <v>0</v>
      </c>
      <c r="K142" s="240">
        <f>ROUND(E142*J142,2)</f>
        <v>0</v>
      </c>
      <c r="L142" s="240">
        <v>21</v>
      </c>
      <c r="M142" s="240">
        <f>G142*(1+L142/100)</f>
        <v>0</v>
      </c>
      <c r="N142" s="238">
        <v>0</v>
      </c>
      <c r="O142" s="238">
        <f>ROUND(E142*N142,2)</f>
        <v>0</v>
      </c>
      <c r="P142" s="238">
        <v>0</v>
      </c>
      <c r="Q142" s="238">
        <f>ROUND(E142*P142,2)</f>
        <v>0</v>
      </c>
      <c r="R142" s="240" t="s">
        <v>2259</v>
      </c>
      <c r="S142" s="240" t="s">
        <v>2177</v>
      </c>
      <c r="T142" s="241">
        <v>0</v>
      </c>
      <c r="U142" s="241">
        <f>ROUND(E142*T142,2)</f>
        <v>0</v>
      </c>
      <c r="V142" s="241"/>
      <c r="W142" s="241" t="s">
        <v>2260</v>
      </c>
      <c r="X142" s="241" t="s">
        <v>2179</v>
      </c>
      <c r="Y142" s="242"/>
      <c r="Z142" s="242"/>
      <c r="AA142" s="242"/>
      <c r="AB142" s="242"/>
      <c r="AC142" s="242"/>
      <c r="AD142" s="242"/>
      <c r="AE142" s="242"/>
      <c r="AF142" s="242" t="s">
        <v>2261</v>
      </c>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row>
    <row r="143" spans="1:59" ht="15" outlineLevel="2">
      <c r="A143" s="243"/>
      <c r="B143" s="244"/>
      <c r="C143" s="246" t="s">
        <v>2299</v>
      </c>
      <c r="D143" s="247"/>
      <c r="E143" s="248">
        <v>6</v>
      </c>
      <c r="F143" s="241"/>
      <c r="G143" s="241"/>
      <c r="H143" s="241"/>
      <c r="I143" s="241"/>
      <c r="J143" s="241"/>
      <c r="K143" s="241"/>
      <c r="L143" s="241"/>
      <c r="M143" s="241"/>
      <c r="N143" s="245"/>
      <c r="O143" s="245"/>
      <c r="P143" s="245"/>
      <c r="Q143" s="245"/>
      <c r="R143" s="241"/>
      <c r="S143" s="241"/>
      <c r="T143" s="241"/>
      <c r="U143" s="241"/>
      <c r="V143" s="241"/>
      <c r="W143" s="241"/>
      <c r="X143" s="241"/>
      <c r="Y143" s="242"/>
      <c r="Z143" s="242"/>
      <c r="AA143" s="242"/>
      <c r="AB143" s="242"/>
      <c r="AC143" s="242"/>
      <c r="AD143" s="242"/>
      <c r="AE143" s="242"/>
      <c r="AF143" s="242" t="s">
        <v>1418</v>
      </c>
      <c r="AG143" s="242">
        <v>0</v>
      </c>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row>
    <row r="144" spans="1:32" ht="15">
      <c r="A144" s="227" t="s">
        <v>2173</v>
      </c>
      <c r="B144" s="228" t="s">
        <v>2300</v>
      </c>
      <c r="C144" s="229" t="s">
        <v>2301</v>
      </c>
      <c r="D144" s="230"/>
      <c r="E144" s="231"/>
      <c r="F144" s="232"/>
      <c r="G144" s="232">
        <f>SUMIF(AF145:AF165,"&lt;&gt;NOR",G145:G165)</f>
        <v>0</v>
      </c>
      <c r="H144" s="232"/>
      <c r="I144" s="232">
        <f>SUM(I145:I165)</f>
        <v>0</v>
      </c>
      <c r="J144" s="232"/>
      <c r="K144" s="232">
        <f>SUM(K145:K165)</f>
        <v>148360.59000000003</v>
      </c>
      <c r="L144" s="232"/>
      <c r="M144" s="232">
        <f>SUM(M145:M165)</f>
        <v>0</v>
      </c>
      <c r="N144" s="231"/>
      <c r="O144" s="231">
        <f>SUM(O145:O165)</f>
        <v>0</v>
      </c>
      <c r="P144" s="231"/>
      <c r="Q144" s="231">
        <f>SUM(Q145:Q165)</f>
        <v>0</v>
      </c>
      <c r="R144" s="232"/>
      <c r="S144" s="232"/>
      <c r="T144" s="233"/>
      <c r="U144" s="233">
        <f>SUM(U145:U165)</f>
        <v>90.3</v>
      </c>
      <c r="V144" s="233"/>
      <c r="W144" s="233"/>
      <c r="X144" s="233"/>
      <c r="AF144" s="210" t="s">
        <v>2174</v>
      </c>
    </row>
    <row r="145" spans="1:59" ht="15" outlineLevel="1">
      <c r="A145" s="234">
        <v>39</v>
      </c>
      <c r="B145" s="235" t="s">
        <v>2302</v>
      </c>
      <c r="C145" s="236" t="s">
        <v>2303</v>
      </c>
      <c r="D145" s="237" t="s">
        <v>125</v>
      </c>
      <c r="E145" s="238">
        <v>48.76112</v>
      </c>
      <c r="F145" s="239"/>
      <c r="G145" s="240">
        <f>ROUND(E145*F145,2)</f>
        <v>0</v>
      </c>
      <c r="H145" s="239">
        <v>0</v>
      </c>
      <c r="I145" s="240">
        <f>ROUND(E145*H145,2)</f>
        <v>0</v>
      </c>
      <c r="J145" s="239">
        <v>256.5</v>
      </c>
      <c r="K145" s="240">
        <f>ROUND(E145*J145,2)</f>
        <v>12507.23</v>
      </c>
      <c r="L145" s="240">
        <v>21</v>
      </c>
      <c r="M145" s="240">
        <f>G145*(1+L145/100)</f>
        <v>0</v>
      </c>
      <c r="N145" s="238">
        <v>0</v>
      </c>
      <c r="O145" s="238">
        <f>ROUND(E145*N145,2)</f>
        <v>0</v>
      </c>
      <c r="P145" s="238">
        <v>0</v>
      </c>
      <c r="Q145" s="238">
        <f>ROUND(E145*P145,2)</f>
        <v>0</v>
      </c>
      <c r="R145" s="240" t="s">
        <v>2249</v>
      </c>
      <c r="S145" s="240" t="s">
        <v>2177</v>
      </c>
      <c r="T145" s="241">
        <v>0.49</v>
      </c>
      <c r="U145" s="241">
        <f>ROUND(E145*T145,2)</f>
        <v>23.89</v>
      </c>
      <c r="V145" s="241"/>
      <c r="W145" s="241" t="s">
        <v>2304</v>
      </c>
      <c r="X145" s="241" t="s">
        <v>2179</v>
      </c>
      <c r="Y145" s="242"/>
      <c r="Z145" s="242"/>
      <c r="AA145" s="242"/>
      <c r="AB145" s="242"/>
      <c r="AC145" s="242"/>
      <c r="AD145" s="242"/>
      <c r="AE145" s="242"/>
      <c r="AF145" s="242" t="s">
        <v>2305</v>
      </c>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242"/>
      <c r="BE145" s="242"/>
      <c r="BF145" s="242"/>
      <c r="BG145" s="242"/>
    </row>
    <row r="146" spans="1:59" ht="15" outlineLevel="2">
      <c r="A146" s="243"/>
      <c r="B146" s="244"/>
      <c r="C146" s="590" t="s">
        <v>2306</v>
      </c>
      <c r="D146" s="591"/>
      <c r="E146" s="591"/>
      <c r="F146" s="591"/>
      <c r="G146" s="591"/>
      <c r="H146" s="241"/>
      <c r="I146" s="241"/>
      <c r="J146" s="241"/>
      <c r="K146" s="241"/>
      <c r="L146" s="241"/>
      <c r="M146" s="241"/>
      <c r="N146" s="245"/>
      <c r="O146" s="245"/>
      <c r="P146" s="245"/>
      <c r="Q146" s="245"/>
      <c r="R146" s="241"/>
      <c r="S146" s="241"/>
      <c r="T146" s="241"/>
      <c r="U146" s="241"/>
      <c r="V146" s="241"/>
      <c r="W146" s="241"/>
      <c r="X146" s="241"/>
      <c r="Y146" s="242"/>
      <c r="Z146" s="242"/>
      <c r="AA146" s="242"/>
      <c r="AB146" s="242"/>
      <c r="AC146" s="242"/>
      <c r="AD146" s="242"/>
      <c r="AE146" s="242"/>
      <c r="AF146" s="242" t="s">
        <v>2285</v>
      </c>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242"/>
      <c r="BE146" s="242"/>
      <c r="BF146" s="242"/>
      <c r="BG146" s="242"/>
    </row>
    <row r="147" spans="1:59" ht="15" outlineLevel="2">
      <c r="A147" s="243"/>
      <c r="B147" s="244"/>
      <c r="C147" s="246" t="s">
        <v>2307</v>
      </c>
      <c r="D147" s="247"/>
      <c r="E147" s="248"/>
      <c r="F147" s="241"/>
      <c r="G147" s="241"/>
      <c r="H147" s="241"/>
      <c r="I147" s="241"/>
      <c r="J147" s="241"/>
      <c r="K147" s="241"/>
      <c r="L147" s="241"/>
      <c r="M147" s="241"/>
      <c r="N147" s="245"/>
      <c r="O147" s="245"/>
      <c r="P147" s="245"/>
      <c r="Q147" s="245"/>
      <c r="R147" s="241"/>
      <c r="S147" s="241"/>
      <c r="T147" s="241"/>
      <c r="U147" s="241"/>
      <c r="V147" s="241"/>
      <c r="W147" s="241"/>
      <c r="X147" s="241"/>
      <c r="Y147" s="242"/>
      <c r="Z147" s="242"/>
      <c r="AA147" s="242"/>
      <c r="AB147" s="242"/>
      <c r="AC147" s="242"/>
      <c r="AD147" s="242"/>
      <c r="AE147" s="242"/>
      <c r="AF147" s="242" t="s">
        <v>1418</v>
      </c>
      <c r="AG147" s="242">
        <v>0</v>
      </c>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row>
    <row r="148" spans="1:59" ht="15" outlineLevel="3">
      <c r="A148" s="243"/>
      <c r="B148" s="244"/>
      <c r="C148" s="246" t="s">
        <v>2308</v>
      </c>
      <c r="D148" s="247"/>
      <c r="E148" s="248"/>
      <c r="F148" s="241"/>
      <c r="G148" s="241"/>
      <c r="H148" s="241"/>
      <c r="I148" s="241"/>
      <c r="J148" s="241"/>
      <c r="K148" s="241"/>
      <c r="L148" s="241"/>
      <c r="M148" s="241"/>
      <c r="N148" s="245"/>
      <c r="O148" s="245"/>
      <c r="P148" s="245"/>
      <c r="Q148" s="245"/>
      <c r="R148" s="241"/>
      <c r="S148" s="241"/>
      <c r="T148" s="241"/>
      <c r="U148" s="241"/>
      <c r="V148" s="241"/>
      <c r="W148" s="241"/>
      <c r="X148" s="241"/>
      <c r="Y148" s="242"/>
      <c r="Z148" s="242"/>
      <c r="AA148" s="242"/>
      <c r="AB148" s="242"/>
      <c r="AC148" s="242"/>
      <c r="AD148" s="242"/>
      <c r="AE148" s="242"/>
      <c r="AF148" s="242" t="s">
        <v>1418</v>
      </c>
      <c r="AG148" s="242">
        <v>0</v>
      </c>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2"/>
      <c r="BD148" s="242"/>
      <c r="BE148" s="242"/>
      <c r="BF148" s="242"/>
      <c r="BG148" s="242"/>
    </row>
    <row r="149" spans="1:59" ht="15" outlineLevel="3">
      <c r="A149" s="243"/>
      <c r="B149" s="244"/>
      <c r="C149" s="246" t="s">
        <v>2309</v>
      </c>
      <c r="D149" s="247"/>
      <c r="E149" s="248">
        <v>48.76112</v>
      </c>
      <c r="F149" s="241"/>
      <c r="G149" s="241"/>
      <c r="H149" s="241"/>
      <c r="I149" s="241"/>
      <c r="J149" s="241"/>
      <c r="K149" s="241"/>
      <c r="L149" s="241"/>
      <c r="M149" s="241"/>
      <c r="N149" s="245"/>
      <c r="O149" s="245"/>
      <c r="P149" s="245"/>
      <c r="Q149" s="245"/>
      <c r="R149" s="241"/>
      <c r="S149" s="241"/>
      <c r="T149" s="241"/>
      <c r="U149" s="241"/>
      <c r="V149" s="241"/>
      <c r="W149" s="241"/>
      <c r="X149" s="241"/>
      <c r="Y149" s="242"/>
      <c r="Z149" s="242"/>
      <c r="AA149" s="242"/>
      <c r="AB149" s="242"/>
      <c r="AC149" s="242"/>
      <c r="AD149" s="242"/>
      <c r="AE149" s="242"/>
      <c r="AF149" s="242" t="s">
        <v>1418</v>
      </c>
      <c r="AG149" s="242">
        <v>0</v>
      </c>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row>
    <row r="150" spans="1:59" ht="15" outlineLevel="1">
      <c r="A150" s="234">
        <v>40</v>
      </c>
      <c r="B150" s="235" t="s">
        <v>2310</v>
      </c>
      <c r="C150" s="236" t="s">
        <v>2311</v>
      </c>
      <c r="D150" s="237" t="s">
        <v>125</v>
      </c>
      <c r="E150" s="238">
        <v>682.65567</v>
      </c>
      <c r="F150" s="239"/>
      <c r="G150" s="240">
        <f>ROUND(E150*F150,2)</f>
        <v>0</v>
      </c>
      <c r="H150" s="239">
        <v>0</v>
      </c>
      <c r="I150" s="240">
        <f>ROUND(E150*H150,2)</f>
        <v>0</v>
      </c>
      <c r="J150" s="239">
        <v>24.6</v>
      </c>
      <c r="K150" s="240">
        <f>ROUND(E150*J150,2)</f>
        <v>16793.33</v>
      </c>
      <c r="L150" s="240">
        <v>21</v>
      </c>
      <c r="M150" s="240">
        <f>G150*(1+L150/100)</f>
        <v>0</v>
      </c>
      <c r="N150" s="238">
        <v>0</v>
      </c>
      <c r="O150" s="238">
        <f>ROUND(E150*N150,2)</f>
        <v>0</v>
      </c>
      <c r="P150" s="238">
        <v>0</v>
      </c>
      <c r="Q150" s="238">
        <f>ROUND(E150*P150,2)</f>
        <v>0</v>
      </c>
      <c r="R150" s="240" t="s">
        <v>2249</v>
      </c>
      <c r="S150" s="240" t="s">
        <v>2177</v>
      </c>
      <c r="T150" s="241">
        <v>0</v>
      </c>
      <c r="U150" s="241">
        <f>ROUND(E150*T150,2)</f>
        <v>0</v>
      </c>
      <c r="V150" s="241"/>
      <c r="W150" s="241" t="s">
        <v>2304</v>
      </c>
      <c r="X150" s="241" t="s">
        <v>2179</v>
      </c>
      <c r="Y150" s="242"/>
      <c r="Z150" s="242"/>
      <c r="AA150" s="242"/>
      <c r="AB150" s="242"/>
      <c r="AC150" s="242"/>
      <c r="AD150" s="242"/>
      <c r="AE150" s="242"/>
      <c r="AF150" s="242" t="s">
        <v>2305</v>
      </c>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C150" s="242"/>
      <c r="BD150" s="242"/>
      <c r="BE150" s="242"/>
      <c r="BF150" s="242"/>
      <c r="BG150" s="242"/>
    </row>
    <row r="151" spans="1:59" ht="15" outlineLevel="2">
      <c r="A151" s="243"/>
      <c r="B151" s="244"/>
      <c r="C151" s="246" t="s">
        <v>2307</v>
      </c>
      <c r="D151" s="247"/>
      <c r="E151" s="248"/>
      <c r="F151" s="241"/>
      <c r="G151" s="241"/>
      <c r="H151" s="241"/>
      <c r="I151" s="241"/>
      <c r="J151" s="241"/>
      <c r="K151" s="241"/>
      <c r="L151" s="241"/>
      <c r="M151" s="241"/>
      <c r="N151" s="245"/>
      <c r="O151" s="245"/>
      <c r="P151" s="245"/>
      <c r="Q151" s="245"/>
      <c r="R151" s="241"/>
      <c r="S151" s="241"/>
      <c r="T151" s="241"/>
      <c r="U151" s="241"/>
      <c r="V151" s="241"/>
      <c r="W151" s="241"/>
      <c r="X151" s="241"/>
      <c r="Y151" s="242"/>
      <c r="Z151" s="242"/>
      <c r="AA151" s="242"/>
      <c r="AB151" s="242"/>
      <c r="AC151" s="242"/>
      <c r="AD151" s="242"/>
      <c r="AE151" s="242"/>
      <c r="AF151" s="242" t="s">
        <v>1418</v>
      </c>
      <c r="AG151" s="242">
        <v>0</v>
      </c>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row>
    <row r="152" spans="1:59" ht="15" outlineLevel="3">
      <c r="A152" s="243"/>
      <c r="B152" s="244"/>
      <c r="C152" s="246" t="s">
        <v>2308</v>
      </c>
      <c r="D152" s="247"/>
      <c r="E152" s="248"/>
      <c r="F152" s="241"/>
      <c r="G152" s="241"/>
      <c r="H152" s="241"/>
      <c r="I152" s="241"/>
      <c r="J152" s="241"/>
      <c r="K152" s="241"/>
      <c r="L152" s="241"/>
      <c r="M152" s="241"/>
      <c r="N152" s="245"/>
      <c r="O152" s="245"/>
      <c r="P152" s="245"/>
      <c r="Q152" s="245"/>
      <c r="R152" s="241"/>
      <c r="S152" s="241"/>
      <c r="T152" s="241"/>
      <c r="U152" s="241"/>
      <c r="V152" s="241"/>
      <c r="W152" s="241"/>
      <c r="X152" s="241"/>
      <c r="Y152" s="242"/>
      <c r="Z152" s="242"/>
      <c r="AA152" s="242"/>
      <c r="AB152" s="242"/>
      <c r="AC152" s="242"/>
      <c r="AD152" s="242"/>
      <c r="AE152" s="242"/>
      <c r="AF152" s="242" t="s">
        <v>1418</v>
      </c>
      <c r="AG152" s="242">
        <v>0</v>
      </c>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242"/>
      <c r="BE152" s="242"/>
      <c r="BF152" s="242"/>
      <c r="BG152" s="242"/>
    </row>
    <row r="153" spans="1:59" ht="15" outlineLevel="3">
      <c r="A153" s="243"/>
      <c r="B153" s="244"/>
      <c r="C153" s="246" t="s">
        <v>2312</v>
      </c>
      <c r="D153" s="247"/>
      <c r="E153" s="248">
        <v>682.65567</v>
      </c>
      <c r="F153" s="241"/>
      <c r="G153" s="241"/>
      <c r="H153" s="241"/>
      <c r="I153" s="241"/>
      <c r="J153" s="241"/>
      <c r="K153" s="241"/>
      <c r="L153" s="241"/>
      <c r="M153" s="241"/>
      <c r="N153" s="245"/>
      <c r="O153" s="245"/>
      <c r="P153" s="245"/>
      <c r="Q153" s="245"/>
      <c r="R153" s="241"/>
      <c r="S153" s="241"/>
      <c r="T153" s="241"/>
      <c r="U153" s="241"/>
      <c r="V153" s="241"/>
      <c r="W153" s="241"/>
      <c r="X153" s="241"/>
      <c r="Y153" s="242"/>
      <c r="Z153" s="242"/>
      <c r="AA153" s="242"/>
      <c r="AB153" s="242"/>
      <c r="AC153" s="242"/>
      <c r="AD153" s="242"/>
      <c r="AE153" s="242"/>
      <c r="AF153" s="242" t="s">
        <v>1418</v>
      </c>
      <c r="AG153" s="242">
        <v>0</v>
      </c>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row>
    <row r="154" spans="1:59" ht="15" outlineLevel="1">
      <c r="A154" s="234">
        <v>41</v>
      </c>
      <c r="B154" s="235" t="s">
        <v>2313</v>
      </c>
      <c r="C154" s="236" t="s">
        <v>2314</v>
      </c>
      <c r="D154" s="237" t="s">
        <v>125</v>
      </c>
      <c r="E154" s="238">
        <v>48.76112</v>
      </c>
      <c r="F154" s="239"/>
      <c r="G154" s="240">
        <f>ROUND(E154*F154,2)</f>
        <v>0</v>
      </c>
      <c r="H154" s="239">
        <v>0</v>
      </c>
      <c r="I154" s="240">
        <f>ROUND(E154*H154,2)</f>
        <v>0</v>
      </c>
      <c r="J154" s="239">
        <v>357.5</v>
      </c>
      <c r="K154" s="240">
        <f>ROUND(E154*J154,2)</f>
        <v>17432.1</v>
      </c>
      <c r="L154" s="240">
        <v>21</v>
      </c>
      <c r="M154" s="240">
        <f>G154*(1+L154/100)</f>
        <v>0</v>
      </c>
      <c r="N154" s="238">
        <v>0</v>
      </c>
      <c r="O154" s="238">
        <f>ROUND(E154*N154,2)</f>
        <v>0</v>
      </c>
      <c r="P154" s="238">
        <v>0</v>
      </c>
      <c r="Q154" s="238">
        <f>ROUND(E154*P154,2)</f>
        <v>0</v>
      </c>
      <c r="R154" s="240" t="s">
        <v>2249</v>
      </c>
      <c r="S154" s="240" t="s">
        <v>2177</v>
      </c>
      <c r="T154" s="241">
        <v>0.942</v>
      </c>
      <c r="U154" s="241">
        <f>ROUND(E154*T154,2)</f>
        <v>45.93</v>
      </c>
      <c r="V154" s="241"/>
      <c r="W154" s="241" t="s">
        <v>2304</v>
      </c>
      <c r="X154" s="241" t="s">
        <v>2179</v>
      </c>
      <c r="Y154" s="242"/>
      <c r="Z154" s="242"/>
      <c r="AA154" s="242"/>
      <c r="AB154" s="242"/>
      <c r="AC154" s="242"/>
      <c r="AD154" s="242"/>
      <c r="AE154" s="242"/>
      <c r="AF154" s="242" t="s">
        <v>2305</v>
      </c>
      <c r="AG154" s="242"/>
      <c r="AH154" s="242"/>
      <c r="AI154" s="242"/>
      <c r="AJ154" s="242"/>
      <c r="AK154" s="242"/>
      <c r="AL154" s="242"/>
      <c r="AM154" s="242"/>
      <c r="AN154" s="242"/>
      <c r="AO154" s="242"/>
      <c r="AP154" s="242"/>
      <c r="AQ154" s="242"/>
      <c r="AR154" s="242"/>
      <c r="AS154" s="242"/>
      <c r="AT154" s="242"/>
      <c r="AU154" s="242"/>
      <c r="AV154" s="242"/>
      <c r="AW154" s="242"/>
      <c r="AX154" s="242"/>
      <c r="AY154" s="242"/>
      <c r="AZ154" s="242"/>
      <c r="BA154" s="242"/>
      <c r="BB154" s="242"/>
      <c r="BC154" s="242"/>
      <c r="BD154" s="242"/>
      <c r="BE154" s="242"/>
      <c r="BF154" s="242"/>
      <c r="BG154" s="242"/>
    </row>
    <row r="155" spans="1:59" ht="15" outlineLevel="2">
      <c r="A155" s="243"/>
      <c r="B155" s="244"/>
      <c r="C155" s="246" t="s">
        <v>2307</v>
      </c>
      <c r="D155" s="247"/>
      <c r="E155" s="248"/>
      <c r="F155" s="241"/>
      <c r="G155" s="241"/>
      <c r="H155" s="241"/>
      <c r="I155" s="241"/>
      <c r="J155" s="241"/>
      <c r="K155" s="241"/>
      <c r="L155" s="241"/>
      <c r="M155" s="241"/>
      <c r="N155" s="245"/>
      <c r="O155" s="245"/>
      <c r="P155" s="245"/>
      <c r="Q155" s="245"/>
      <c r="R155" s="241"/>
      <c r="S155" s="241"/>
      <c r="T155" s="241"/>
      <c r="U155" s="241"/>
      <c r="V155" s="241"/>
      <c r="W155" s="241"/>
      <c r="X155" s="241"/>
      <c r="Y155" s="242"/>
      <c r="Z155" s="242"/>
      <c r="AA155" s="242"/>
      <c r="AB155" s="242"/>
      <c r="AC155" s="242"/>
      <c r="AD155" s="242"/>
      <c r="AE155" s="242"/>
      <c r="AF155" s="242" t="s">
        <v>1418</v>
      </c>
      <c r="AG155" s="242">
        <v>0</v>
      </c>
      <c r="AH155" s="242"/>
      <c r="AI155" s="242"/>
      <c r="AJ155" s="242"/>
      <c r="AK155" s="242"/>
      <c r="AL155" s="242"/>
      <c r="AM155" s="242"/>
      <c r="AN155" s="242"/>
      <c r="AO155" s="242"/>
      <c r="AP155" s="242"/>
      <c r="AQ155" s="242"/>
      <c r="AR155" s="242"/>
      <c r="AS155" s="242"/>
      <c r="AT155" s="242"/>
      <c r="AU155" s="242"/>
      <c r="AV155" s="242"/>
      <c r="AW155" s="242"/>
      <c r="AX155" s="242"/>
      <c r="AY155" s="242"/>
      <c r="AZ155" s="242"/>
      <c r="BA155" s="242"/>
      <c r="BB155" s="242"/>
      <c r="BC155" s="242"/>
      <c r="BD155" s="242"/>
      <c r="BE155" s="242"/>
      <c r="BF155" s="242"/>
      <c r="BG155" s="242"/>
    </row>
    <row r="156" spans="1:59" ht="15" outlineLevel="3">
      <c r="A156" s="243"/>
      <c r="B156" s="244"/>
      <c r="C156" s="246" t="s">
        <v>2308</v>
      </c>
      <c r="D156" s="247"/>
      <c r="E156" s="248"/>
      <c r="F156" s="241"/>
      <c r="G156" s="241"/>
      <c r="H156" s="241"/>
      <c r="I156" s="241"/>
      <c r="J156" s="241"/>
      <c r="K156" s="241"/>
      <c r="L156" s="241"/>
      <c r="M156" s="241"/>
      <c r="N156" s="245"/>
      <c r="O156" s="245"/>
      <c r="P156" s="245"/>
      <c r="Q156" s="245"/>
      <c r="R156" s="241"/>
      <c r="S156" s="241"/>
      <c r="T156" s="241"/>
      <c r="U156" s="241"/>
      <c r="V156" s="241"/>
      <c r="W156" s="241"/>
      <c r="X156" s="241"/>
      <c r="Y156" s="242"/>
      <c r="Z156" s="242"/>
      <c r="AA156" s="242"/>
      <c r="AB156" s="242"/>
      <c r="AC156" s="242"/>
      <c r="AD156" s="242"/>
      <c r="AE156" s="242"/>
      <c r="AF156" s="242" t="s">
        <v>1418</v>
      </c>
      <c r="AG156" s="242">
        <v>0</v>
      </c>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row>
    <row r="157" spans="1:59" ht="15" outlineLevel="3">
      <c r="A157" s="243"/>
      <c r="B157" s="244"/>
      <c r="C157" s="246" t="s">
        <v>2309</v>
      </c>
      <c r="D157" s="247"/>
      <c r="E157" s="248">
        <v>48.76112</v>
      </c>
      <c r="F157" s="241"/>
      <c r="G157" s="241"/>
      <c r="H157" s="241"/>
      <c r="I157" s="241"/>
      <c r="J157" s="241"/>
      <c r="K157" s="241"/>
      <c r="L157" s="241"/>
      <c r="M157" s="241"/>
      <c r="N157" s="245"/>
      <c r="O157" s="245"/>
      <c r="P157" s="245"/>
      <c r="Q157" s="245"/>
      <c r="R157" s="241"/>
      <c r="S157" s="241"/>
      <c r="T157" s="241"/>
      <c r="U157" s="241"/>
      <c r="V157" s="241"/>
      <c r="W157" s="241"/>
      <c r="X157" s="241"/>
      <c r="Y157" s="242"/>
      <c r="Z157" s="242"/>
      <c r="AA157" s="242"/>
      <c r="AB157" s="242"/>
      <c r="AC157" s="242"/>
      <c r="AD157" s="242"/>
      <c r="AE157" s="242"/>
      <c r="AF157" s="242" t="s">
        <v>1418</v>
      </c>
      <c r="AG157" s="242">
        <v>0</v>
      </c>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row>
    <row r="158" spans="1:59" ht="15" outlineLevel="1">
      <c r="A158" s="234">
        <v>42</v>
      </c>
      <c r="B158" s="235" t="s">
        <v>2315</v>
      </c>
      <c r="C158" s="236" t="s">
        <v>2316</v>
      </c>
      <c r="D158" s="237" t="s">
        <v>125</v>
      </c>
      <c r="E158" s="238">
        <v>195.04448</v>
      </c>
      <c r="F158" s="239"/>
      <c r="G158" s="240">
        <f>ROUND(E158*F158,2)</f>
        <v>0</v>
      </c>
      <c r="H158" s="239">
        <v>0</v>
      </c>
      <c r="I158" s="240">
        <f>ROUND(E158*H158,2)</f>
        <v>0</v>
      </c>
      <c r="J158" s="239">
        <v>39.8</v>
      </c>
      <c r="K158" s="240">
        <f>ROUND(E158*J158,2)</f>
        <v>7762.77</v>
      </c>
      <c r="L158" s="240">
        <v>21</v>
      </c>
      <c r="M158" s="240">
        <f>G158*(1+L158/100)</f>
        <v>0</v>
      </c>
      <c r="N158" s="238">
        <v>0</v>
      </c>
      <c r="O158" s="238">
        <f>ROUND(E158*N158,2)</f>
        <v>0</v>
      </c>
      <c r="P158" s="238">
        <v>0</v>
      </c>
      <c r="Q158" s="238">
        <f>ROUND(E158*P158,2)</f>
        <v>0</v>
      </c>
      <c r="R158" s="240" t="s">
        <v>2249</v>
      </c>
      <c r="S158" s="240" t="s">
        <v>2177</v>
      </c>
      <c r="T158" s="241">
        <v>0.105</v>
      </c>
      <c r="U158" s="241">
        <f>ROUND(E158*T158,2)</f>
        <v>20.48</v>
      </c>
      <c r="V158" s="241"/>
      <c r="W158" s="241" t="s">
        <v>2304</v>
      </c>
      <c r="X158" s="241" t="s">
        <v>2179</v>
      </c>
      <c r="Y158" s="242"/>
      <c r="Z158" s="242"/>
      <c r="AA158" s="242"/>
      <c r="AB158" s="242"/>
      <c r="AC158" s="242"/>
      <c r="AD158" s="242"/>
      <c r="AE158" s="242"/>
      <c r="AF158" s="242" t="s">
        <v>2305</v>
      </c>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row>
    <row r="159" spans="1:59" ht="15" outlineLevel="2">
      <c r="A159" s="243"/>
      <c r="B159" s="244"/>
      <c r="C159" s="246" t="s">
        <v>2307</v>
      </c>
      <c r="D159" s="247"/>
      <c r="E159" s="248"/>
      <c r="F159" s="241"/>
      <c r="G159" s="241"/>
      <c r="H159" s="241"/>
      <c r="I159" s="241"/>
      <c r="J159" s="241"/>
      <c r="K159" s="241"/>
      <c r="L159" s="241"/>
      <c r="M159" s="241"/>
      <c r="N159" s="245"/>
      <c r="O159" s="245"/>
      <c r="P159" s="245"/>
      <c r="Q159" s="245"/>
      <c r="R159" s="241"/>
      <c r="S159" s="241"/>
      <c r="T159" s="241"/>
      <c r="U159" s="241"/>
      <c r="V159" s="241"/>
      <c r="W159" s="241"/>
      <c r="X159" s="241"/>
      <c r="Y159" s="242"/>
      <c r="Z159" s="242"/>
      <c r="AA159" s="242"/>
      <c r="AB159" s="242"/>
      <c r="AC159" s="242"/>
      <c r="AD159" s="242"/>
      <c r="AE159" s="242"/>
      <c r="AF159" s="242" t="s">
        <v>1418</v>
      </c>
      <c r="AG159" s="242">
        <v>0</v>
      </c>
      <c r="AH159" s="242"/>
      <c r="AI159" s="242"/>
      <c r="AJ159" s="242"/>
      <c r="AK159" s="242"/>
      <c r="AL159" s="242"/>
      <c r="AM159" s="242"/>
      <c r="AN159" s="242"/>
      <c r="AO159" s="242"/>
      <c r="AP159" s="242"/>
      <c r="AQ159" s="242"/>
      <c r="AR159" s="242"/>
      <c r="AS159" s="242"/>
      <c r="AT159" s="242"/>
      <c r="AU159" s="242"/>
      <c r="AV159" s="242"/>
      <c r="AW159" s="242"/>
      <c r="AX159" s="242"/>
      <c r="AY159" s="242"/>
      <c r="AZ159" s="242"/>
      <c r="BA159" s="242"/>
      <c r="BB159" s="242"/>
      <c r="BC159" s="242"/>
      <c r="BD159" s="242"/>
      <c r="BE159" s="242"/>
      <c r="BF159" s="242"/>
      <c r="BG159" s="242"/>
    </row>
    <row r="160" spans="1:59" ht="15" outlineLevel="3">
      <c r="A160" s="243"/>
      <c r="B160" s="244"/>
      <c r="C160" s="246" t="s">
        <v>2308</v>
      </c>
      <c r="D160" s="247"/>
      <c r="E160" s="248"/>
      <c r="F160" s="241"/>
      <c r="G160" s="241"/>
      <c r="H160" s="241"/>
      <c r="I160" s="241"/>
      <c r="J160" s="241"/>
      <c r="K160" s="241"/>
      <c r="L160" s="241"/>
      <c r="M160" s="241"/>
      <c r="N160" s="245"/>
      <c r="O160" s="245"/>
      <c r="P160" s="245"/>
      <c r="Q160" s="245"/>
      <c r="R160" s="241"/>
      <c r="S160" s="241"/>
      <c r="T160" s="241"/>
      <c r="U160" s="241"/>
      <c r="V160" s="241"/>
      <c r="W160" s="241"/>
      <c r="X160" s="241"/>
      <c r="Y160" s="242"/>
      <c r="Z160" s="242"/>
      <c r="AA160" s="242"/>
      <c r="AB160" s="242"/>
      <c r="AC160" s="242"/>
      <c r="AD160" s="242"/>
      <c r="AE160" s="242"/>
      <c r="AF160" s="242" t="s">
        <v>1418</v>
      </c>
      <c r="AG160" s="242">
        <v>0</v>
      </c>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row>
    <row r="161" spans="1:59" ht="15" outlineLevel="3">
      <c r="A161" s="243"/>
      <c r="B161" s="244"/>
      <c r="C161" s="246" t="s">
        <v>2317</v>
      </c>
      <c r="D161" s="247"/>
      <c r="E161" s="248">
        <v>195.04448</v>
      </c>
      <c r="F161" s="241"/>
      <c r="G161" s="241"/>
      <c r="H161" s="241"/>
      <c r="I161" s="241"/>
      <c r="J161" s="241"/>
      <c r="K161" s="241"/>
      <c r="L161" s="241"/>
      <c r="M161" s="241"/>
      <c r="N161" s="245"/>
      <c r="O161" s="245"/>
      <c r="P161" s="245"/>
      <c r="Q161" s="245"/>
      <c r="R161" s="241"/>
      <c r="S161" s="241"/>
      <c r="T161" s="241"/>
      <c r="U161" s="241"/>
      <c r="V161" s="241"/>
      <c r="W161" s="241"/>
      <c r="X161" s="241"/>
      <c r="Y161" s="242"/>
      <c r="Z161" s="242"/>
      <c r="AA161" s="242"/>
      <c r="AB161" s="242"/>
      <c r="AC161" s="242"/>
      <c r="AD161" s="242"/>
      <c r="AE161" s="242"/>
      <c r="AF161" s="242" t="s">
        <v>1418</v>
      </c>
      <c r="AG161" s="242">
        <v>0</v>
      </c>
      <c r="AH161" s="242"/>
      <c r="AI161" s="242"/>
      <c r="AJ161" s="242"/>
      <c r="AK161" s="242"/>
      <c r="AL161" s="242"/>
      <c r="AM161" s="242"/>
      <c r="AN161" s="242"/>
      <c r="AO161" s="242"/>
      <c r="AP161" s="242"/>
      <c r="AQ161" s="242"/>
      <c r="AR161" s="242"/>
      <c r="AS161" s="242"/>
      <c r="AT161" s="242"/>
      <c r="AU161" s="242"/>
      <c r="AV161" s="242"/>
      <c r="AW161" s="242"/>
      <c r="AX161" s="242"/>
      <c r="AY161" s="242"/>
      <c r="AZ161" s="242"/>
      <c r="BA161" s="242"/>
      <c r="BB161" s="242"/>
      <c r="BC161" s="242"/>
      <c r="BD161" s="242"/>
      <c r="BE161" s="242"/>
      <c r="BF161" s="242"/>
      <c r="BG161" s="242"/>
    </row>
    <row r="162" spans="1:59" ht="20.4" outlineLevel="1">
      <c r="A162" s="234">
        <v>43</v>
      </c>
      <c r="B162" s="235" t="s">
        <v>2318</v>
      </c>
      <c r="C162" s="236" t="s">
        <v>2319</v>
      </c>
      <c r="D162" s="237" t="s">
        <v>125</v>
      </c>
      <c r="E162" s="238">
        <v>48.76112</v>
      </c>
      <c r="F162" s="239"/>
      <c r="G162" s="240">
        <f>ROUND(E162*F162,2)</f>
        <v>0</v>
      </c>
      <c r="H162" s="239">
        <v>0</v>
      </c>
      <c r="I162" s="240">
        <f>ROUND(E162*H162,2)</f>
        <v>0</v>
      </c>
      <c r="J162" s="239">
        <v>1925</v>
      </c>
      <c r="K162" s="240">
        <f>ROUND(E162*J162,2)</f>
        <v>93865.16</v>
      </c>
      <c r="L162" s="240">
        <v>21</v>
      </c>
      <c r="M162" s="240">
        <f>G162*(1+L162/100)</f>
        <v>0</v>
      </c>
      <c r="N162" s="238">
        <v>0</v>
      </c>
      <c r="O162" s="238">
        <f>ROUND(E162*N162,2)</f>
        <v>0</v>
      </c>
      <c r="P162" s="238">
        <v>0</v>
      </c>
      <c r="Q162" s="238">
        <f>ROUND(E162*P162,2)</f>
        <v>0</v>
      </c>
      <c r="R162" s="240" t="s">
        <v>2249</v>
      </c>
      <c r="S162" s="240" t="s">
        <v>2177</v>
      </c>
      <c r="T162" s="241">
        <v>0</v>
      </c>
      <c r="U162" s="241">
        <f>ROUND(E162*T162,2)</f>
        <v>0</v>
      </c>
      <c r="V162" s="241"/>
      <c r="W162" s="241" t="s">
        <v>2304</v>
      </c>
      <c r="X162" s="241" t="s">
        <v>2179</v>
      </c>
      <c r="Y162" s="242"/>
      <c r="Z162" s="242"/>
      <c r="AA162" s="242"/>
      <c r="AB162" s="242"/>
      <c r="AC162" s="242"/>
      <c r="AD162" s="242"/>
      <c r="AE162" s="242"/>
      <c r="AF162" s="242" t="s">
        <v>2305</v>
      </c>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row>
    <row r="163" spans="1:59" ht="15" outlineLevel="2">
      <c r="A163" s="243"/>
      <c r="B163" s="244"/>
      <c r="C163" s="246" t="s">
        <v>2307</v>
      </c>
      <c r="D163" s="247"/>
      <c r="E163" s="248"/>
      <c r="F163" s="241"/>
      <c r="G163" s="241"/>
      <c r="H163" s="241"/>
      <c r="I163" s="241"/>
      <c r="J163" s="241"/>
      <c r="K163" s="241"/>
      <c r="L163" s="241"/>
      <c r="M163" s="241"/>
      <c r="N163" s="245"/>
      <c r="O163" s="245"/>
      <c r="P163" s="245"/>
      <c r="Q163" s="245"/>
      <c r="R163" s="241"/>
      <c r="S163" s="241"/>
      <c r="T163" s="241"/>
      <c r="U163" s="241"/>
      <c r="V163" s="241"/>
      <c r="W163" s="241"/>
      <c r="X163" s="241"/>
      <c r="Y163" s="242"/>
      <c r="Z163" s="242"/>
      <c r="AA163" s="242"/>
      <c r="AB163" s="242"/>
      <c r="AC163" s="242"/>
      <c r="AD163" s="242"/>
      <c r="AE163" s="242"/>
      <c r="AF163" s="242" t="s">
        <v>1418</v>
      </c>
      <c r="AG163" s="242">
        <v>0</v>
      </c>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row>
    <row r="164" spans="1:59" ht="15" outlineLevel="3">
      <c r="A164" s="243"/>
      <c r="B164" s="244"/>
      <c r="C164" s="246" t="s">
        <v>2308</v>
      </c>
      <c r="D164" s="247"/>
      <c r="E164" s="248"/>
      <c r="F164" s="241"/>
      <c r="G164" s="241"/>
      <c r="H164" s="241"/>
      <c r="I164" s="241"/>
      <c r="J164" s="241"/>
      <c r="K164" s="241"/>
      <c r="L164" s="241"/>
      <c r="M164" s="241"/>
      <c r="N164" s="245"/>
      <c r="O164" s="245"/>
      <c r="P164" s="245"/>
      <c r="Q164" s="245"/>
      <c r="R164" s="241"/>
      <c r="S164" s="241"/>
      <c r="T164" s="241"/>
      <c r="U164" s="241"/>
      <c r="V164" s="241"/>
      <c r="W164" s="241"/>
      <c r="X164" s="241"/>
      <c r="Y164" s="242"/>
      <c r="Z164" s="242"/>
      <c r="AA164" s="242"/>
      <c r="AB164" s="242"/>
      <c r="AC164" s="242"/>
      <c r="AD164" s="242"/>
      <c r="AE164" s="242"/>
      <c r="AF164" s="242" t="s">
        <v>1418</v>
      </c>
      <c r="AG164" s="242">
        <v>0</v>
      </c>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row>
    <row r="165" spans="1:59" ht="15" outlineLevel="3">
      <c r="A165" s="243"/>
      <c r="B165" s="244"/>
      <c r="C165" s="246" t="s">
        <v>2309</v>
      </c>
      <c r="D165" s="247"/>
      <c r="E165" s="248">
        <v>48.76112</v>
      </c>
      <c r="F165" s="241"/>
      <c r="G165" s="241"/>
      <c r="H165" s="241"/>
      <c r="I165" s="241"/>
      <c r="J165" s="241"/>
      <c r="K165" s="241"/>
      <c r="L165" s="241"/>
      <c r="M165" s="241"/>
      <c r="N165" s="245"/>
      <c r="O165" s="245"/>
      <c r="P165" s="245"/>
      <c r="Q165" s="245"/>
      <c r="R165" s="241"/>
      <c r="S165" s="241"/>
      <c r="T165" s="241"/>
      <c r="U165" s="241"/>
      <c r="V165" s="241"/>
      <c r="W165" s="241"/>
      <c r="X165" s="241"/>
      <c r="Y165" s="242"/>
      <c r="Z165" s="242"/>
      <c r="AA165" s="242"/>
      <c r="AB165" s="242"/>
      <c r="AC165" s="242"/>
      <c r="AD165" s="242"/>
      <c r="AE165" s="242"/>
      <c r="AF165" s="242" t="s">
        <v>1418</v>
      </c>
      <c r="AG165" s="242">
        <v>0</v>
      </c>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row>
    <row r="166" spans="1:32" ht="15">
      <c r="A166" s="222"/>
      <c r="B166" s="223"/>
      <c r="C166" s="257"/>
      <c r="D166" s="224"/>
      <c r="E166" s="222"/>
      <c r="F166" s="222"/>
      <c r="G166" s="222"/>
      <c r="H166" s="222"/>
      <c r="I166" s="222"/>
      <c r="J166" s="222"/>
      <c r="K166" s="222"/>
      <c r="L166" s="222"/>
      <c r="M166" s="222"/>
      <c r="N166" s="222"/>
      <c r="O166" s="222"/>
      <c r="P166" s="222"/>
      <c r="Q166" s="222"/>
      <c r="R166" s="222"/>
      <c r="S166" s="222"/>
      <c r="T166" s="222"/>
      <c r="U166" s="222"/>
      <c r="V166" s="222"/>
      <c r="W166" s="222"/>
      <c r="X166" s="222"/>
      <c r="AD166" s="210">
        <v>15</v>
      </c>
      <c r="AE166" s="210">
        <v>21</v>
      </c>
      <c r="AF166" s="210" t="s">
        <v>859</v>
      </c>
    </row>
    <row r="167" spans="1:32" ht="15">
      <c r="A167" s="258"/>
      <c r="B167" s="259" t="s">
        <v>34</v>
      </c>
      <c r="C167" s="260"/>
      <c r="D167" s="261"/>
      <c r="E167" s="262"/>
      <c r="F167" s="262"/>
      <c r="G167" s="263">
        <f>G8+G12+G115+G119+G131+G138+G144</f>
        <v>0</v>
      </c>
      <c r="H167" s="222"/>
      <c r="I167" s="222"/>
      <c r="J167" s="222"/>
      <c r="K167" s="222"/>
      <c r="L167" s="222"/>
      <c r="M167" s="222"/>
      <c r="N167" s="222"/>
      <c r="O167" s="222"/>
      <c r="P167" s="222"/>
      <c r="Q167" s="222"/>
      <c r="R167" s="222"/>
      <c r="S167" s="222"/>
      <c r="T167" s="222"/>
      <c r="U167" s="222"/>
      <c r="V167" s="222"/>
      <c r="W167" s="222"/>
      <c r="X167" s="222"/>
      <c r="AD167" s="210">
        <f>SUMIF(L7:L165,AD166,G7:G165)</f>
        <v>0</v>
      </c>
      <c r="AE167" s="210">
        <f>SUMIF(L7:L165,AE166,G7:G165)</f>
        <v>0</v>
      </c>
      <c r="AF167" s="210" t="s">
        <v>2320</v>
      </c>
    </row>
    <row r="168" spans="3:32" ht="15">
      <c r="C168" s="264"/>
      <c r="D168" s="216"/>
      <c r="AF168" s="210" t="s">
        <v>2321</v>
      </c>
    </row>
    <row r="169" ht="15">
      <c r="D169" s="216"/>
    </row>
    <row r="170" ht="15">
      <c r="D170" s="216"/>
    </row>
    <row r="171" ht="15">
      <c r="D171" s="216"/>
    </row>
    <row r="172" ht="15">
      <c r="D172" s="216"/>
    </row>
    <row r="173" ht="15">
      <c r="D173" s="216"/>
    </row>
    <row r="174" ht="15">
      <c r="D174" s="216"/>
    </row>
    <row r="175" ht="15">
      <c r="D175" s="216"/>
    </row>
    <row r="176" ht="15">
      <c r="D176" s="216"/>
    </row>
    <row r="177" ht="15">
      <c r="D177" s="216"/>
    </row>
    <row r="178" ht="15">
      <c r="D178" s="216"/>
    </row>
    <row r="179" ht="15">
      <c r="D179" s="216"/>
    </row>
    <row r="180" ht="15">
      <c r="D180" s="216"/>
    </row>
    <row r="181" ht="15">
      <c r="D181" s="216"/>
    </row>
    <row r="182" ht="15">
      <c r="D182" s="216"/>
    </row>
    <row r="183" ht="15">
      <c r="D183" s="216"/>
    </row>
    <row r="184" ht="15">
      <c r="D184" s="216"/>
    </row>
    <row r="185" ht="15">
      <c r="D185" s="216"/>
    </row>
    <row r="186" ht="15">
      <c r="D186" s="216"/>
    </row>
    <row r="187" ht="15">
      <c r="D187" s="216"/>
    </row>
    <row r="188" ht="15">
      <c r="D188" s="216"/>
    </row>
    <row r="189" ht="15">
      <c r="D189" s="216"/>
    </row>
    <row r="190" ht="15">
      <c r="D190" s="216"/>
    </row>
    <row r="191" ht="15">
      <c r="D191" s="216"/>
    </row>
    <row r="192" ht="15">
      <c r="D192" s="216"/>
    </row>
    <row r="193" ht="15">
      <c r="D193" s="216"/>
    </row>
    <row r="194" ht="15">
      <c r="D194" s="216"/>
    </row>
    <row r="195" ht="15">
      <c r="D195" s="216"/>
    </row>
    <row r="196" ht="15">
      <c r="D196" s="216"/>
    </row>
    <row r="197" ht="15">
      <c r="D197" s="216"/>
    </row>
    <row r="198" ht="15">
      <c r="D198" s="216"/>
    </row>
    <row r="199" ht="15">
      <c r="D199" s="216"/>
    </row>
    <row r="200" ht="15">
      <c r="D200" s="216"/>
    </row>
    <row r="201" ht="15">
      <c r="D201" s="216"/>
    </row>
    <row r="202" ht="15">
      <c r="D202" s="216"/>
    </row>
    <row r="203" ht="15">
      <c r="D203" s="216"/>
    </row>
    <row r="204" ht="15">
      <c r="D204" s="216"/>
    </row>
    <row r="205" ht="15">
      <c r="D205" s="216"/>
    </row>
    <row r="206" ht="15">
      <c r="D206" s="216"/>
    </row>
    <row r="207" ht="15">
      <c r="D207" s="216"/>
    </row>
    <row r="208" ht="15">
      <c r="D208" s="216"/>
    </row>
    <row r="209" ht="15">
      <c r="D209" s="216"/>
    </row>
    <row r="210" ht="15">
      <c r="D210" s="216"/>
    </row>
    <row r="211" ht="15">
      <c r="D211" s="216"/>
    </row>
    <row r="212" ht="15">
      <c r="D212" s="216"/>
    </row>
    <row r="213" ht="15">
      <c r="D213" s="216"/>
    </row>
    <row r="214" ht="15">
      <c r="D214" s="216"/>
    </row>
    <row r="215" ht="15">
      <c r="D215" s="216"/>
    </row>
    <row r="216" ht="15">
      <c r="D216" s="216"/>
    </row>
    <row r="217" ht="15">
      <c r="D217" s="216"/>
    </row>
    <row r="218" ht="15">
      <c r="D218" s="216"/>
    </row>
    <row r="219" ht="15">
      <c r="D219" s="216"/>
    </row>
    <row r="220" ht="15">
      <c r="D220" s="216"/>
    </row>
    <row r="221" ht="15">
      <c r="D221" s="216"/>
    </row>
    <row r="222" ht="15">
      <c r="D222" s="216"/>
    </row>
    <row r="223" ht="15">
      <c r="D223" s="216"/>
    </row>
    <row r="224" ht="15">
      <c r="D224" s="216"/>
    </row>
    <row r="225" ht="15">
      <c r="D225" s="216"/>
    </row>
    <row r="226" ht="15">
      <c r="D226" s="216"/>
    </row>
    <row r="227" ht="15">
      <c r="D227" s="216"/>
    </row>
    <row r="228" ht="15">
      <c r="D228" s="216"/>
    </row>
    <row r="229" ht="15">
      <c r="D229" s="216"/>
    </row>
    <row r="230" ht="15">
      <c r="D230" s="216"/>
    </row>
    <row r="231" ht="15">
      <c r="D231" s="216"/>
    </row>
    <row r="232" ht="15">
      <c r="D232" s="216"/>
    </row>
    <row r="233" ht="15">
      <c r="D233" s="216"/>
    </row>
    <row r="234" ht="15">
      <c r="D234" s="216"/>
    </row>
    <row r="235" ht="15">
      <c r="D235" s="216"/>
    </row>
    <row r="236" ht="15">
      <c r="D236" s="216"/>
    </row>
    <row r="237" ht="15">
      <c r="D237" s="216"/>
    </row>
    <row r="238" ht="15">
      <c r="D238" s="216"/>
    </row>
    <row r="239" ht="15">
      <c r="D239" s="216"/>
    </row>
    <row r="240" ht="15">
      <c r="D240" s="216"/>
    </row>
    <row r="241" ht="15">
      <c r="D241" s="216"/>
    </row>
    <row r="242" ht="15">
      <c r="D242" s="216"/>
    </row>
    <row r="243" ht="15">
      <c r="D243" s="216"/>
    </row>
    <row r="244" ht="15">
      <c r="D244" s="216"/>
    </row>
    <row r="245" ht="15">
      <c r="D245" s="216"/>
    </row>
    <row r="246" ht="15">
      <c r="D246" s="216"/>
    </row>
    <row r="247" ht="15">
      <c r="D247" s="216"/>
    </row>
    <row r="248" ht="15">
      <c r="D248" s="216"/>
    </row>
    <row r="249" ht="15">
      <c r="D249" s="216"/>
    </row>
    <row r="250" ht="15">
      <c r="D250" s="216"/>
    </row>
    <row r="251" ht="15">
      <c r="D251" s="216"/>
    </row>
    <row r="252" ht="15">
      <c r="D252" s="216"/>
    </row>
    <row r="253" ht="15">
      <c r="D253" s="216"/>
    </row>
    <row r="254" ht="15">
      <c r="D254" s="216"/>
    </row>
    <row r="255" ht="15">
      <c r="D255" s="216"/>
    </row>
    <row r="256" ht="15">
      <c r="D256" s="216"/>
    </row>
    <row r="257" ht="15">
      <c r="D257" s="216"/>
    </row>
    <row r="258" ht="15">
      <c r="D258" s="216"/>
    </row>
    <row r="259" ht="15">
      <c r="D259" s="216"/>
    </row>
    <row r="260" ht="15">
      <c r="D260" s="216"/>
    </row>
    <row r="261" ht="15">
      <c r="D261" s="216"/>
    </row>
    <row r="262" ht="15">
      <c r="D262" s="216"/>
    </row>
    <row r="263" ht="15">
      <c r="D263" s="216"/>
    </row>
    <row r="264" ht="15">
      <c r="D264" s="216"/>
    </row>
    <row r="265" ht="15">
      <c r="D265" s="216"/>
    </row>
    <row r="266" ht="15">
      <c r="D266" s="216"/>
    </row>
    <row r="267" ht="15">
      <c r="D267" s="216"/>
    </row>
    <row r="268" ht="15">
      <c r="D268" s="216"/>
    </row>
    <row r="269" ht="15">
      <c r="D269" s="216"/>
    </row>
    <row r="270" ht="15">
      <c r="D270" s="216"/>
    </row>
    <row r="271" ht="15">
      <c r="D271" s="216"/>
    </row>
    <row r="272" ht="15">
      <c r="D272" s="216"/>
    </row>
    <row r="273" ht="15">
      <c r="D273" s="216"/>
    </row>
    <row r="274" ht="15">
      <c r="D274" s="216"/>
    </row>
    <row r="275" ht="15">
      <c r="D275" s="216"/>
    </row>
    <row r="276" ht="15">
      <c r="D276" s="216"/>
    </row>
    <row r="277" ht="15">
      <c r="D277" s="216"/>
    </row>
    <row r="278" ht="15">
      <c r="D278" s="216"/>
    </row>
    <row r="279" ht="15">
      <c r="D279" s="216"/>
    </row>
    <row r="280" ht="15">
      <c r="D280" s="216"/>
    </row>
    <row r="281" ht="15">
      <c r="D281" s="216"/>
    </row>
    <row r="282" ht="15">
      <c r="D282" s="216"/>
    </row>
    <row r="283" ht="15">
      <c r="D283" s="216"/>
    </row>
    <row r="284" ht="15">
      <c r="D284" s="216"/>
    </row>
    <row r="285" ht="15">
      <c r="D285" s="216"/>
    </row>
    <row r="286" ht="15">
      <c r="D286" s="216"/>
    </row>
    <row r="287" ht="15">
      <c r="D287" s="216"/>
    </row>
    <row r="288" ht="15">
      <c r="D288" s="216"/>
    </row>
    <row r="289" ht="15">
      <c r="D289" s="216"/>
    </row>
    <row r="290" ht="15">
      <c r="D290" s="216"/>
    </row>
    <row r="291" ht="15">
      <c r="D291" s="216"/>
    </row>
    <row r="292" ht="15">
      <c r="D292" s="216"/>
    </row>
    <row r="293" ht="15">
      <c r="D293" s="216"/>
    </row>
    <row r="294" ht="15">
      <c r="D294" s="216"/>
    </row>
    <row r="295" ht="15">
      <c r="D295" s="216"/>
    </row>
    <row r="296" ht="15">
      <c r="D296" s="216"/>
    </row>
    <row r="297" ht="15">
      <c r="D297" s="216"/>
    </row>
    <row r="298" ht="15">
      <c r="D298" s="216"/>
    </row>
    <row r="299" ht="15">
      <c r="D299" s="216"/>
    </row>
    <row r="300" ht="15">
      <c r="D300" s="216"/>
    </row>
    <row r="301" ht="15">
      <c r="D301" s="216"/>
    </row>
    <row r="302" ht="15">
      <c r="D302" s="216"/>
    </row>
    <row r="303" ht="15">
      <c r="D303" s="216"/>
    </row>
    <row r="304" ht="15">
      <c r="D304" s="216"/>
    </row>
    <row r="305" ht="15">
      <c r="D305" s="216"/>
    </row>
    <row r="306" ht="15">
      <c r="D306" s="216"/>
    </row>
    <row r="307" ht="15">
      <c r="D307" s="216"/>
    </row>
    <row r="308" ht="15">
      <c r="D308" s="216"/>
    </row>
    <row r="309" ht="15">
      <c r="D309" s="216"/>
    </row>
    <row r="310" ht="15">
      <c r="D310" s="216"/>
    </row>
    <row r="311" ht="15">
      <c r="D311" s="216"/>
    </row>
    <row r="312" ht="15">
      <c r="D312" s="216"/>
    </row>
    <row r="313" ht="15">
      <c r="D313" s="216"/>
    </row>
    <row r="314" ht="15">
      <c r="D314" s="216"/>
    </row>
    <row r="315" ht="15">
      <c r="D315" s="216"/>
    </row>
    <row r="316" ht="15">
      <c r="D316" s="216"/>
    </row>
    <row r="317" ht="15">
      <c r="D317" s="216"/>
    </row>
    <row r="318" ht="15">
      <c r="D318" s="216"/>
    </row>
    <row r="319" ht="15">
      <c r="D319" s="216"/>
    </row>
    <row r="320" ht="15">
      <c r="D320" s="216"/>
    </row>
    <row r="321" ht="15">
      <c r="D321" s="216"/>
    </row>
    <row r="322" ht="15">
      <c r="D322" s="216"/>
    </row>
    <row r="323" ht="15">
      <c r="D323" s="216"/>
    </row>
    <row r="324" ht="15">
      <c r="D324" s="216"/>
    </row>
    <row r="325" ht="15">
      <c r="D325" s="216"/>
    </row>
    <row r="326" ht="15">
      <c r="D326" s="216"/>
    </row>
    <row r="327" ht="15">
      <c r="D327" s="216"/>
    </row>
    <row r="328" ht="15">
      <c r="D328" s="216"/>
    </row>
    <row r="329" ht="15">
      <c r="D329" s="216"/>
    </row>
    <row r="330" ht="15">
      <c r="D330" s="216"/>
    </row>
    <row r="331" ht="15">
      <c r="D331" s="216"/>
    </row>
    <row r="332" ht="15">
      <c r="D332" s="216"/>
    </row>
    <row r="333" ht="15">
      <c r="D333" s="216"/>
    </row>
    <row r="334" ht="15">
      <c r="D334" s="216"/>
    </row>
    <row r="335" ht="15">
      <c r="D335" s="216"/>
    </row>
    <row r="336" ht="15">
      <c r="D336" s="216"/>
    </row>
    <row r="337" ht="15">
      <c r="D337" s="216"/>
    </row>
    <row r="338" ht="15">
      <c r="D338" s="216"/>
    </row>
    <row r="339" ht="15">
      <c r="D339" s="216"/>
    </row>
    <row r="340" ht="15">
      <c r="D340" s="216"/>
    </row>
    <row r="341" ht="15">
      <c r="D341" s="216"/>
    </row>
    <row r="342" ht="15">
      <c r="D342" s="216"/>
    </row>
    <row r="343" ht="15">
      <c r="D343" s="216"/>
    </row>
    <row r="344" ht="15">
      <c r="D344" s="216"/>
    </row>
    <row r="345" ht="15">
      <c r="D345" s="216"/>
    </row>
    <row r="346" ht="15">
      <c r="D346" s="216"/>
    </row>
    <row r="347" ht="15">
      <c r="D347" s="216"/>
    </row>
    <row r="348" ht="15">
      <c r="D348" s="216"/>
    </row>
    <row r="349" ht="15">
      <c r="D349" s="216"/>
    </row>
    <row r="350" ht="15">
      <c r="D350" s="216"/>
    </row>
    <row r="351" ht="15">
      <c r="D351" s="216"/>
    </row>
    <row r="352" ht="15">
      <c r="D352" s="216"/>
    </row>
    <row r="353" ht="15">
      <c r="D353" s="216"/>
    </row>
    <row r="354" ht="15">
      <c r="D354" s="216"/>
    </row>
    <row r="355" ht="15">
      <c r="D355" s="216"/>
    </row>
    <row r="356" ht="15">
      <c r="D356" s="216"/>
    </row>
    <row r="357" ht="15">
      <c r="D357" s="216"/>
    </row>
    <row r="358" ht="15">
      <c r="D358" s="216"/>
    </row>
    <row r="359" ht="15">
      <c r="D359" s="216"/>
    </row>
    <row r="360" ht="15">
      <c r="D360" s="216"/>
    </row>
    <row r="361" ht="15">
      <c r="D361" s="216"/>
    </row>
    <row r="362" ht="15">
      <c r="D362" s="216"/>
    </row>
    <row r="363" ht="15">
      <c r="D363" s="216"/>
    </row>
    <row r="364" ht="15">
      <c r="D364" s="216"/>
    </row>
    <row r="365" ht="15">
      <c r="D365" s="216"/>
    </row>
    <row r="366" ht="15">
      <c r="D366" s="216"/>
    </row>
    <row r="367" ht="15">
      <c r="D367" s="216"/>
    </row>
    <row r="368" ht="15">
      <c r="D368" s="216"/>
    </row>
    <row r="369" ht="15">
      <c r="D369" s="216"/>
    </row>
    <row r="370" ht="15">
      <c r="D370" s="216"/>
    </row>
    <row r="371" ht="15">
      <c r="D371" s="216"/>
    </row>
    <row r="372" ht="15">
      <c r="D372" s="216"/>
    </row>
    <row r="373" ht="15">
      <c r="D373" s="216"/>
    </row>
    <row r="374" ht="15">
      <c r="D374" s="216"/>
    </row>
    <row r="375" ht="15">
      <c r="D375" s="216"/>
    </row>
    <row r="376" ht="15">
      <c r="D376" s="216"/>
    </row>
    <row r="377" ht="15">
      <c r="D377" s="216"/>
    </row>
    <row r="378" ht="15">
      <c r="D378" s="216"/>
    </row>
    <row r="379" ht="15">
      <c r="D379" s="216"/>
    </row>
    <row r="380" ht="15">
      <c r="D380" s="216"/>
    </row>
    <row r="381" ht="15">
      <c r="D381" s="216"/>
    </row>
    <row r="382" ht="15">
      <c r="D382" s="216"/>
    </row>
    <row r="383" ht="15">
      <c r="D383" s="216"/>
    </row>
    <row r="384" ht="15">
      <c r="D384" s="216"/>
    </row>
    <row r="385" ht="15">
      <c r="D385" s="216"/>
    </row>
    <row r="386" ht="15">
      <c r="D386" s="216"/>
    </row>
    <row r="387" ht="15">
      <c r="D387" s="216"/>
    </row>
    <row r="388" ht="15">
      <c r="D388" s="216"/>
    </row>
    <row r="389" ht="15">
      <c r="D389" s="216"/>
    </row>
    <row r="390" ht="15">
      <c r="D390" s="216"/>
    </row>
    <row r="391" ht="15">
      <c r="D391" s="216"/>
    </row>
    <row r="392" ht="15">
      <c r="D392" s="216"/>
    </row>
    <row r="393" ht="15">
      <c r="D393" s="216"/>
    </row>
    <row r="394" ht="15">
      <c r="D394" s="216"/>
    </row>
    <row r="395" ht="15">
      <c r="D395" s="216"/>
    </row>
    <row r="396" ht="15">
      <c r="D396" s="216"/>
    </row>
    <row r="397" ht="15">
      <c r="D397" s="216"/>
    </row>
    <row r="398" ht="15">
      <c r="D398" s="216"/>
    </row>
    <row r="399" ht="15">
      <c r="D399" s="216"/>
    </row>
    <row r="400" ht="15">
      <c r="D400" s="216"/>
    </row>
    <row r="401" ht="15">
      <c r="D401" s="216"/>
    </row>
    <row r="402" ht="15">
      <c r="D402" s="216"/>
    </row>
    <row r="403" ht="15">
      <c r="D403" s="216"/>
    </row>
    <row r="404" ht="15">
      <c r="D404" s="216"/>
    </row>
    <row r="405" ht="15">
      <c r="D405" s="216"/>
    </row>
    <row r="406" ht="15">
      <c r="D406" s="216"/>
    </row>
    <row r="407" ht="15">
      <c r="D407" s="216"/>
    </row>
    <row r="408" ht="15">
      <c r="D408" s="216"/>
    </row>
    <row r="409" ht="15">
      <c r="D409" s="216"/>
    </row>
    <row r="410" ht="15">
      <c r="D410" s="216"/>
    </row>
    <row r="411" ht="15">
      <c r="D411" s="216"/>
    </row>
    <row r="412" ht="15">
      <c r="D412" s="216"/>
    </row>
    <row r="413" ht="15">
      <c r="D413" s="216"/>
    </row>
    <row r="414" ht="15">
      <c r="D414" s="216"/>
    </row>
    <row r="415" ht="15">
      <c r="D415" s="216"/>
    </row>
    <row r="416" ht="15">
      <c r="D416" s="216"/>
    </row>
    <row r="417" ht="15">
      <c r="D417" s="216"/>
    </row>
    <row r="418" ht="15">
      <c r="D418" s="216"/>
    </row>
    <row r="419" ht="15">
      <c r="D419" s="216"/>
    </row>
    <row r="420" ht="15">
      <c r="D420" s="216"/>
    </row>
    <row r="421" ht="15">
      <c r="D421" s="216"/>
    </row>
    <row r="422" ht="15">
      <c r="D422" s="216"/>
    </row>
    <row r="423" ht="15">
      <c r="D423" s="216"/>
    </row>
    <row r="424" ht="15">
      <c r="D424" s="216"/>
    </row>
    <row r="425" ht="15">
      <c r="D425" s="216"/>
    </row>
    <row r="426" ht="15">
      <c r="D426" s="216"/>
    </row>
    <row r="427" ht="15">
      <c r="D427" s="216"/>
    </row>
    <row r="428" ht="15">
      <c r="D428" s="216"/>
    </row>
    <row r="429" ht="15">
      <c r="D429" s="216"/>
    </row>
    <row r="430" ht="15">
      <c r="D430" s="216"/>
    </row>
    <row r="431" ht="15">
      <c r="D431" s="216"/>
    </row>
    <row r="432" ht="15">
      <c r="D432" s="216"/>
    </row>
    <row r="433" ht="15">
      <c r="D433" s="216"/>
    </row>
    <row r="434" ht="15">
      <c r="D434" s="216"/>
    </row>
    <row r="435" ht="15">
      <c r="D435" s="216"/>
    </row>
    <row r="436" ht="15">
      <c r="D436" s="216"/>
    </row>
    <row r="437" ht="15">
      <c r="D437" s="216"/>
    </row>
    <row r="438" ht="15">
      <c r="D438" s="216"/>
    </row>
    <row r="439" ht="15">
      <c r="D439" s="216"/>
    </row>
    <row r="440" ht="15">
      <c r="D440" s="216"/>
    </row>
    <row r="441" ht="15">
      <c r="D441" s="216"/>
    </row>
    <row r="442" ht="15">
      <c r="D442" s="216"/>
    </row>
    <row r="443" ht="15">
      <c r="D443" s="216"/>
    </row>
    <row r="444" ht="15">
      <c r="D444" s="216"/>
    </row>
    <row r="445" ht="15">
      <c r="D445" s="216"/>
    </row>
    <row r="446" ht="15">
      <c r="D446" s="216"/>
    </row>
    <row r="447" ht="15">
      <c r="D447" s="216"/>
    </row>
    <row r="448" ht="15">
      <c r="D448" s="216"/>
    </row>
    <row r="449" ht="15">
      <c r="D449" s="216"/>
    </row>
    <row r="450" ht="15">
      <c r="D450" s="216"/>
    </row>
    <row r="451" ht="15">
      <c r="D451" s="216"/>
    </row>
    <row r="452" ht="15">
      <c r="D452" s="216"/>
    </row>
    <row r="453" ht="15">
      <c r="D453" s="216"/>
    </row>
    <row r="454" ht="15">
      <c r="D454" s="216"/>
    </row>
    <row r="455" ht="15">
      <c r="D455" s="216"/>
    </row>
    <row r="456" ht="15">
      <c r="D456" s="216"/>
    </row>
    <row r="457" ht="15">
      <c r="D457" s="216"/>
    </row>
    <row r="458" ht="15">
      <c r="D458" s="216"/>
    </row>
    <row r="459" ht="15">
      <c r="D459" s="216"/>
    </row>
    <row r="460" ht="15">
      <c r="D460" s="216"/>
    </row>
    <row r="461" ht="15">
      <c r="D461" s="216"/>
    </row>
    <row r="462" ht="15">
      <c r="D462" s="216"/>
    </row>
    <row r="463" ht="15">
      <c r="D463" s="216"/>
    </row>
    <row r="464" ht="15">
      <c r="D464" s="216"/>
    </row>
    <row r="465" ht="15">
      <c r="D465" s="216"/>
    </row>
    <row r="466" ht="15">
      <c r="D466" s="216"/>
    </row>
    <row r="467" ht="15">
      <c r="D467" s="216"/>
    </row>
    <row r="468" ht="15">
      <c r="D468" s="216"/>
    </row>
    <row r="469" ht="15">
      <c r="D469" s="216"/>
    </row>
    <row r="470" ht="15">
      <c r="D470" s="216"/>
    </row>
    <row r="471" ht="15">
      <c r="D471" s="216"/>
    </row>
    <row r="472" ht="15">
      <c r="D472" s="216"/>
    </row>
    <row r="473" ht="15">
      <c r="D473" s="216"/>
    </row>
    <row r="474" ht="15">
      <c r="D474" s="216"/>
    </row>
    <row r="475" ht="15">
      <c r="D475" s="216"/>
    </row>
    <row r="476" ht="15">
      <c r="D476" s="216"/>
    </row>
    <row r="477" ht="15">
      <c r="D477" s="216"/>
    </row>
    <row r="478" ht="15">
      <c r="D478" s="216"/>
    </row>
    <row r="479" ht="15">
      <c r="D479" s="216"/>
    </row>
    <row r="480" ht="15">
      <c r="D480" s="216"/>
    </row>
    <row r="481" ht="15">
      <c r="D481" s="216"/>
    </row>
    <row r="482" ht="15">
      <c r="D482" s="216"/>
    </row>
    <row r="483" ht="15">
      <c r="D483" s="216"/>
    </row>
    <row r="484" ht="15">
      <c r="D484" s="216"/>
    </row>
    <row r="485" ht="15">
      <c r="D485" s="216"/>
    </row>
    <row r="486" ht="15">
      <c r="D486" s="216"/>
    </row>
    <row r="487" ht="15">
      <c r="D487" s="216"/>
    </row>
    <row r="488" ht="15">
      <c r="D488" s="216"/>
    </row>
    <row r="489" ht="15">
      <c r="D489" s="216"/>
    </row>
    <row r="490" ht="15">
      <c r="D490" s="216"/>
    </row>
    <row r="491" ht="15">
      <c r="D491" s="216"/>
    </row>
    <row r="492" ht="15">
      <c r="D492" s="216"/>
    </row>
    <row r="493" ht="15">
      <c r="D493" s="216"/>
    </row>
    <row r="494" ht="15">
      <c r="D494" s="216"/>
    </row>
    <row r="495" ht="15">
      <c r="D495" s="216"/>
    </row>
    <row r="496" ht="15">
      <c r="D496" s="216"/>
    </row>
    <row r="497" ht="15">
      <c r="D497" s="216"/>
    </row>
    <row r="498" ht="15">
      <c r="D498" s="216"/>
    </row>
    <row r="499" ht="15">
      <c r="D499" s="216"/>
    </row>
    <row r="500" ht="15">
      <c r="D500" s="216"/>
    </row>
    <row r="501" ht="15">
      <c r="D501" s="216"/>
    </row>
    <row r="502" ht="15">
      <c r="D502" s="216"/>
    </row>
    <row r="503" ht="15">
      <c r="D503" s="216"/>
    </row>
    <row r="504" ht="15">
      <c r="D504" s="216"/>
    </row>
    <row r="505" ht="15">
      <c r="D505" s="216"/>
    </row>
    <row r="506" ht="15">
      <c r="D506" s="216"/>
    </row>
    <row r="507" ht="15">
      <c r="D507" s="216"/>
    </row>
    <row r="508" ht="15">
      <c r="D508" s="216"/>
    </row>
    <row r="509" ht="15">
      <c r="D509" s="216"/>
    </row>
    <row r="510" ht="15">
      <c r="D510" s="216"/>
    </row>
    <row r="511" ht="15">
      <c r="D511" s="216"/>
    </row>
    <row r="512" ht="15">
      <c r="D512" s="216"/>
    </row>
    <row r="513" ht="15">
      <c r="D513" s="216"/>
    </row>
    <row r="514" ht="15">
      <c r="D514" s="216"/>
    </row>
    <row r="515" ht="15">
      <c r="D515" s="216"/>
    </row>
    <row r="516" ht="15">
      <c r="D516" s="216"/>
    </row>
    <row r="517" ht="15">
      <c r="D517" s="216"/>
    </row>
    <row r="518" ht="15">
      <c r="D518" s="216"/>
    </row>
    <row r="519" ht="15">
      <c r="D519" s="216"/>
    </row>
    <row r="520" ht="15">
      <c r="D520" s="216"/>
    </row>
    <row r="521" ht="15">
      <c r="D521" s="216"/>
    </row>
    <row r="522" ht="15">
      <c r="D522" s="216"/>
    </row>
    <row r="523" ht="15">
      <c r="D523" s="216"/>
    </row>
    <row r="524" ht="15">
      <c r="D524" s="216"/>
    </row>
    <row r="525" ht="15">
      <c r="D525" s="216"/>
    </row>
    <row r="526" ht="15">
      <c r="D526" s="216"/>
    </row>
    <row r="527" ht="15">
      <c r="D527" s="216"/>
    </row>
    <row r="528" ht="15">
      <c r="D528" s="216"/>
    </row>
    <row r="529" ht="15">
      <c r="D529" s="216"/>
    </row>
    <row r="530" ht="15">
      <c r="D530" s="216"/>
    </row>
    <row r="531" ht="15">
      <c r="D531" s="216"/>
    </row>
    <row r="532" ht="15">
      <c r="D532" s="216"/>
    </row>
    <row r="533" ht="15">
      <c r="D533" s="216"/>
    </row>
    <row r="534" ht="15">
      <c r="D534" s="216"/>
    </row>
    <row r="535" ht="15">
      <c r="D535" s="216"/>
    </row>
    <row r="536" ht="15">
      <c r="D536" s="216"/>
    </row>
    <row r="537" ht="15">
      <c r="D537" s="216"/>
    </row>
    <row r="538" ht="15">
      <c r="D538" s="216"/>
    </row>
    <row r="539" ht="15">
      <c r="D539" s="216"/>
    </row>
    <row r="540" ht="15">
      <c r="D540" s="216"/>
    </row>
    <row r="541" ht="15">
      <c r="D541" s="216"/>
    </row>
    <row r="542" ht="15">
      <c r="D542" s="216"/>
    </row>
    <row r="543" ht="15">
      <c r="D543" s="216"/>
    </row>
    <row r="544" ht="15">
      <c r="D544" s="216"/>
    </row>
    <row r="545" ht="15">
      <c r="D545" s="216"/>
    </row>
    <row r="546" ht="15">
      <c r="D546" s="216"/>
    </row>
    <row r="547" ht="15">
      <c r="D547" s="216"/>
    </row>
    <row r="548" ht="15">
      <c r="D548" s="216"/>
    </row>
    <row r="549" ht="15">
      <c r="D549" s="216"/>
    </row>
    <row r="550" ht="15">
      <c r="D550" s="216"/>
    </row>
    <row r="551" ht="15">
      <c r="D551" s="216"/>
    </row>
    <row r="552" ht="15">
      <c r="D552" s="216"/>
    </row>
    <row r="553" ht="15">
      <c r="D553" s="216"/>
    </row>
    <row r="554" ht="15">
      <c r="D554" s="216"/>
    </row>
    <row r="555" ht="15">
      <c r="D555" s="216"/>
    </row>
    <row r="556" ht="15">
      <c r="D556" s="216"/>
    </row>
    <row r="557" ht="15">
      <c r="D557" s="216"/>
    </row>
    <row r="558" ht="15">
      <c r="D558" s="216"/>
    </row>
    <row r="559" ht="15">
      <c r="D559" s="216"/>
    </row>
    <row r="560" ht="15">
      <c r="D560" s="216"/>
    </row>
    <row r="561" ht="15">
      <c r="D561" s="216"/>
    </row>
    <row r="562" ht="15">
      <c r="D562" s="216"/>
    </row>
    <row r="563" ht="15">
      <c r="D563" s="216"/>
    </row>
    <row r="564" ht="15">
      <c r="D564" s="216"/>
    </row>
    <row r="565" ht="15">
      <c r="D565" s="216"/>
    </row>
    <row r="566" ht="15">
      <c r="D566" s="216"/>
    </row>
    <row r="567" ht="15">
      <c r="D567" s="216"/>
    </row>
    <row r="568" ht="15">
      <c r="D568" s="216"/>
    </row>
    <row r="569" ht="15">
      <c r="D569" s="216"/>
    </row>
    <row r="570" ht="15">
      <c r="D570" s="216"/>
    </row>
    <row r="571" ht="15">
      <c r="D571" s="216"/>
    </row>
    <row r="572" ht="15">
      <c r="D572" s="216"/>
    </row>
    <row r="573" ht="15">
      <c r="D573" s="216"/>
    </row>
    <row r="574" ht="15">
      <c r="D574" s="216"/>
    </row>
    <row r="575" ht="15">
      <c r="D575" s="216"/>
    </row>
    <row r="576" ht="15">
      <c r="D576" s="216"/>
    </row>
    <row r="577" ht="15">
      <c r="D577" s="216"/>
    </row>
    <row r="578" ht="15">
      <c r="D578" s="216"/>
    </row>
    <row r="579" ht="15">
      <c r="D579" s="216"/>
    </row>
    <row r="580" ht="15">
      <c r="D580" s="216"/>
    </row>
    <row r="581" ht="15">
      <c r="D581" s="216"/>
    </row>
    <row r="582" ht="15">
      <c r="D582" s="216"/>
    </row>
    <row r="583" ht="15">
      <c r="D583" s="216"/>
    </row>
    <row r="584" ht="15">
      <c r="D584" s="216"/>
    </row>
    <row r="585" ht="15">
      <c r="D585" s="216"/>
    </row>
    <row r="586" ht="15">
      <c r="D586" s="216"/>
    </row>
    <row r="587" ht="15">
      <c r="D587" s="216"/>
    </row>
    <row r="588" ht="15">
      <c r="D588" s="216"/>
    </row>
    <row r="589" ht="15">
      <c r="D589" s="216"/>
    </row>
    <row r="590" ht="15">
      <c r="D590" s="216"/>
    </row>
    <row r="591" ht="15">
      <c r="D591" s="216"/>
    </row>
    <row r="592" ht="15">
      <c r="D592" s="216"/>
    </row>
    <row r="593" ht="15">
      <c r="D593" s="216"/>
    </row>
    <row r="594" ht="15">
      <c r="D594" s="216"/>
    </row>
    <row r="595" ht="15">
      <c r="D595" s="216"/>
    </row>
    <row r="596" ht="15">
      <c r="D596" s="216"/>
    </row>
    <row r="597" ht="15">
      <c r="D597" s="216"/>
    </row>
    <row r="598" ht="15">
      <c r="D598" s="216"/>
    </row>
    <row r="599" ht="15">
      <c r="D599" s="216"/>
    </row>
    <row r="600" ht="15">
      <c r="D600" s="216"/>
    </row>
    <row r="601" ht="15">
      <c r="D601" s="216"/>
    </row>
    <row r="602" ht="15">
      <c r="D602" s="216"/>
    </row>
    <row r="603" ht="15">
      <c r="D603" s="216"/>
    </row>
    <row r="604" ht="15">
      <c r="D604" s="216"/>
    </row>
    <row r="605" ht="15">
      <c r="D605" s="216"/>
    </row>
    <row r="606" ht="15">
      <c r="D606" s="216"/>
    </row>
    <row r="607" ht="15">
      <c r="D607" s="216"/>
    </row>
    <row r="608" ht="15">
      <c r="D608" s="216"/>
    </row>
    <row r="609" ht="15">
      <c r="D609" s="216"/>
    </row>
    <row r="610" ht="15">
      <c r="D610" s="216"/>
    </row>
    <row r="611" ht="15">
      <c r="D611" s="216"/>
    </row>
    <row r="612" ht="15">
      <c r="D612" s="216"/>
    </row>
    <row r="613" ht="15">
      <c r="D613" s="216"/>
    </row>
    <row r="614" ht="15">
      <c r="D614" s="216"/>
    </row>
    <row r="615" ht="15">
      <c r="D615" s="216"/>
    </row>
    <row r="616" ht="15">
      <c r="D616" s="216"/>
    </row>
    <row r="617" ht="15">
      <c r="D617" s="216"/>
    </row>
    <row r="618" ht="15">
      <c r="D618" s="216"/>
    </row>
    <row r="619" ht="15">
      <c r="D619" s="216"/>
    </row>
    <row r="620" ht="15">
      <c r="D620" s="216"/>
    </row>
    <row r="621" ht="15">
      <c r="D621" s="216"/>
    </row>
    <row r="622" ht="15">
      <c r="D622" s="216"/>
    </row>
    <row r="623" ht="15">
      <c r="D623" s="216"/>
    </row>
    <row r="624" ht="15">
      <c r="D624" s="216"/>
    </row>
    <row r="625" ht="15">
      <c r="D625" s="216"/>
    </row>
    <row r="626" ht="15">
      <c r="D626" s="216"/>
    </row>
    <row r="627" ht="15">
      <c r="D627" s="216"/>
    </row>
    <row r="628" ht="15">
      <c r="D628" s="216"/>
    </row>
    <row r="629" ht="15">
      <c r="D629" s="216"/>
    </row>
    <row r="630" ht="15">
      <c r="D630" s="216"/>
    </row>
    <row r="631" ht="15">
      <c r="D631" s="216"/>
    </row>
    <row r="632" ht="15">
      <c r="D632" s="216"/>
    </row>
    <row r="633" ht="15">
      <c r="D633" s="216"/>
    </row>
    <row r="634" ht="15">
      <c r="D634" s="216"/>
    </row>
    <row r="635" ht="15">
      <c r="D635" s="216"/>
    </row>
    <row r="636" ht="15">
      <c r="D636" s="216"/>
    </row>
    <row r="637" ht="15">
      <c r="D637" s="216"/>
    </row>
    <row r="638" ht="15">
      <c r="D638" s="216"/>
    </row>
    <row r="639" ht="15">
      <c r="D639" s="216"/>
    </row>
    <row r="640" ht="15">
      <c r="D640" s="216"/>
    </row>
    <row r="641" ht="15">
      <c r="D641" s="216"/>
    </row>
    <row r="642" ht="15">
      <c r="D642" s="216"/>
    </row>
    <row r="643" ht="15">
      <c r="D643" s="216"/>
    </row>
    <row r="644" ht="15">
      <c r="D644" s="216"/>
    </row>
    <row r="645" ht="15">
      <c r="D645" s="216"/>
    </row>
    <row r="646" ht="15">
      <c r="D646" s="216"/>
    </row>
    <row r="647" ht="15">
      <c r="D647" s="216"/>
    </row>
    <row r="648" ht="15">
      <c r="D648" s="216"/>
    </row>
    <row r="649" ht="15">
      <c r="D649" s="216"/>
    </row>
    <row r="650" ht="15">
      <c r="D650" s="216"/>
    </row>
    <row r="651" ht="15">
      <c r="D651" s="216"/>
    </row>
    <row r="652" ht="15">
      <c r="D652" s="216"/>
    </row>
    <row r="653" ht="15">
      <c r="D653" s="216"/>
    </row>
    <row r="654" ht="15">
      <c r="D654" s="216"/>
    </row>
    <row r="655" ht="15">
      <c r="D655" s="216"/>
    </row>
    <row r="656" ht="15">
      <c r="D656" s="216"/>
    </row>
    <row r="657" ht="15">
      <c r="D657" s="216"/>
    </row>
    <row r="658" ht="15">
      <c r="D658" s="216"/>
    </row>
    <row r="659" ht="15">
      <c r="D659" s="216"/>
    </row>
    <row r="660" ht="15">
      <c r="D660" s="216"/>
    </row>
    <row r="661" ht="15">
      <c r="D661" s="216"/>
    </row>
    <row r="662" ht="15">
      <c r="D662" s="216"/>
    </row>
    <row r="663" ht="15">
      <c r="D663" s="216"/>
    </row>
    <row r="664" ht="15">
      <c r="D664" s="216"/>
    </row>
    <row r="665" ht="15">
      <c r="D665" s="216"/>
    </row>
    <row r="666" ht="15">
      <c r="D666" s="216"/>
    </row>
    <row r="667" ht="15">
      <c r="D667" s="216"/>
    </row>
    <row r="668" ht="15">
      <c r="D668" s="216"/>
    </row>
    <row r="669" ht="15">
      <c r="D669" s="216"/>
    </row>
    <row r="670" ht="15">
      <c r="D670" s="216"/>
    </row>
    <row r="671" ht="15">
      <c r="D671" s="216"/>
    </row>
    <row r="672" ht="15">
      <c r="D672" s="216"/>
    </row>
    <row r="673" ht="15">
      <c r="D673" s="216"/>
    </row>
    <row r="674" ht="15">
      <c r="D674" s="216"/>
    </row>
    <row r="675" ht="15">
      <c r="D675" s="216"/>
    </row>
    <row r="676" ht="15">
      <c r="D676" s="216"/>
    </row>
    <row r="677" ht="15">
      <c r="D677" s="216"/>
    </row>
    <row r="678" ht="15">
      <c r="D678" s="216"/>
    </row>
    <row r="679" ht="15">
      <c r="D679" s="216"/>
    </row>
    <row r="680" ht="15">
      <c r="D680" s="216"/>
    </row>
    <row r="681" ht="15">
      <c r="D681" s="216"/>
    </row>
    <row r="682" ht="15">
      <c r="D682" s="216"/>
    </row>
    <row r="683" ht="15">
      <c r="D683" s="216"/>
    </row>
    <row r="684" ht="15">
      <c r="D684" s="216"/>
    </row>
    <row r="685" ht="15">
      <c r="D685" s="216"/>
    </row>
    <row r="686" ht="15">
      <c r="D686" s="216"/>
    </row>
    <row r="687" ht="15">
      <c r="D687" s="216"/>
    </row>
    <row r="688" ht="15">
      <c r="D688" s="216"/>
    </row>
    <row r="689" ht="15">
      <c r="D689" s="216"/>
    </row>
    <row r="690" ht="15">
      <c r="D690" s="216"/>
    </row>
    <row r="691" ht="15">
      <c r="D691" s="216"/>
    </row>
    <row r="692" ht="15">
      <c r="D692" s="216"/>
    </row>
    <row r="693" ht="15">
      <c r="D693" s="216"/>
    </row>
    <row r="694" ht="15">
      <c r="D694" s="216"/>
    </row>
    <row r="695" ht="15">
      <c r="D695" s="216"/>
    </row>
    <row r="696" ht="15">
      <c r="D696" s="216"/>
    </row>
    <row r="697" ht="15">
      <c r="D697" s="216"/>
    </row>
    <row r="698" ht="15">
      <c r="D698" s="216"/>
    </row>
    <row r="699" ht="15">
      <c r="D699" s="216"/>
    </row>
    <row r="700" ht="15">
      <c r="D700" s="216"/>
    </row>
    <row r="701" ht="15">
      <c r="D701" s="216"/>
    </row>
    <row r="702" ht="15">
      <c r="D702" s="216"/>
    </row>
    <row r="703" ht="15">
      <c r="D703" s="216"/>
    </row>
    <row r="704" ht="15">
      <c r="D704" s="216"/>
    </row>
    <row r="705" ht="15">
      <c r="D705" s="216"/>
    </row>
    <row r="706" ht="15">
      <c r="D706" s="216"/>
    </row>
    <row r="707" ht="15">
      <c r="D707" s="216"/>
    </row>
    <row r="708" ht="15">
      <c r="D708" s="216"/>
    </row>
    <row r="709" ht="15">
      <c r="D709" s="216"/>
    </row>
    <row r="710" ht="15">
      <c r="D710" s="216"/>
    </row>
    <row r="711" ht="15">
      <c r="D711" s="216"/>
    </row>
    <row r="712" ht="15">
      <c r="D712" s="216"/>
    </row>
    <row r="713" ht="15">
      <c r="D713" s="216"/>
    </row>
    <row r="714" ht="15">
      <c r="D714" s="216"/>
    </row>
    <row r="715" ht="15">
      <c r="D715" s="216"/>
    </row>
    <row r="716" ht="15">
      <c r="D716" s="216"/>
    </row>
    <row r="717" ht="15">
      <c r="D717" s="216"/>
    </row>
    <row r="718" ht="15">
      <c r="D718" s="216"/>
    </row>
    <row r="719" ht="15">
      <c r="D719" s="216"/>
    </row>
    <row r="720" ht="15">
      <c r="D720" s="216"/>
    </row>
    <row r="721" ht="15">
      <c r="D721" s="216"/>
    </row>
    <row r="722" ht="15">
      <c r="D722" s="216"/>
    </row>
    <row r="723" ht="15">
      <c r="D723" s="216"/>
    </row>
    <row r="724" ht="15">
      <c r="D724" s="216"/>
    </row>
    <row r="725" ht="15">
      <c r="D725" s="216"/>
    </row>
    <row r="726" ht="15">
      <c r="D726" s="216"/>
    </row>
    <row r="727" ht="15">
      <c r="D727" s="216"/>
    </row>
    <row r="728" ht="15">
      <c r="D728" s="216"/>
    </row>
    <row r="729" ht="15">
      <c r="D729" s="216"/>
    </row>
    <row r="730" ht="15">
      <c r="D730" s="216"/>
    </row>
    <row r="731" ht="15">
      <c r="D731" s="216"/>
    </row>
    <row r="732" ht="15">
      <c r="D732" s="216"/>
    </row>
    <row r="733" ht="15">
      <c r="D733" s="216"/>
    </row>
    <row r="734" ht="15">
      <c r="D734" s="216"/>
    </row>
    <row r="735" ht="15">
      <c r="D735" s="216"/>
    </row>
    <row r="736" ht="15">
      <c r="D736" s="216"/>
    </row>
    <row r="737" ht="15">
      <c r="D737" s="216"/>
    </row>
    <row r="738" ht="15">
      <c r="D738" s="216"/>
    </row>
    <row r="739" ht="15">
      <c r="D739" s="216"/>
    </row>
    <row r="740" ht="15">
      <c r="D740" s="216"/>
    </row>
    <row r="741" ht="15">
      <c r="D741" s="216"/>
    </row>
    <row r="742" ht="15">
      <c r="D742" s="216"/>
    </row>
    <row r="743" ht="15">
      <c r="D743" s="216"/>
    </row>
    <row r="744" ht="15">
      <c r="D744" s="216"/>
    </row>
    <row r="745" ht="15">
      <c r="D745" s="216"/>
    </row>
    <row r="746" ht="15">
      <c r="D746" s="216"/>
    </row>
    <row r="747" ht="15">
      <c r="D747" s="216"/>
    </row>
    <row r="748" ht="15">
      <c r="D748" s="216"/>
    </row>
    <row r="749" ht="15">
      <c r="D749" s="216"/>
    </row>
    <row r="750" ht="15">
      <c r="D750" s="216"/>
    </row>
    <row r="751" ht="15">
      <c r="D751" s="216"/>
    </row>
    <row r="752" ht="15">
      <c r="D752" s="216"/>
    </row>
    <row r="753" ht="15">
      <c r="D753" s="216"/>
    </row>
    <row r="754" ht="15">
      <c r="D754" s="216"/>
    </row>
    <row r="755" ht="15">
      <c r="D755" s="216"/>
    </row>
    <row r="756" ht="15">
      <c r="D756" s="216"/>
    </row>
    <row r="757" ht="15">
      <c r="D757" s="216"/>
    </row>
    <row r="758" ht="15">
      <c r="D758" s="216"/>
    </row>
    <row r="759" ht="15">
      <c r="D759" s="216"/>
    </row>
    <row r="760" ht="15">
      <c r="D760" s="216"/>
    </row>
    <row r="761" ht="15">
      <c r="D761" s="216"/>
    </row>
    <row r="762" ht="15">
      <c r="D762" s="216"/>
    </row>
    <row r="763" ht="15">
      <c r="D763" s="216"/>
    </row>
    <row r="764" ht="15">
      <c r="D764" s="216"/>
    </row>
    <row r="765" ht="15">
      <c r="D765" s="216"/>
    </row>
    <row r="766" ht="15">
      <c r="D766" s="216"/>
    </row>
    <row r="767" ht="15">
      <c r="D767" s="216"/>
    </row>
    <row r="768" ht="15">
      <c r="D768" s="216"/>
    </row>
    <row r="769" ht="15">
      <c r="D769" s="216"/>
    </row>
    <row r="770" ht="15">
      <c r="D770" s="216"/>
    </row>
    <row r="771" ht="15">
      <c r="D771" s="216"/>
    </row>
    <row r="772" ht="15">
      <c r="D772" s="216"/>
    </row>
    <row r="773" ht="15">
      <c r="D773" s="216"/>
    </row>
    <row r="774" ht="15">
      <c r="D774" s="216"/>
    </row>
    <row r="775" ht="15">
      <c r="D775" s="216"/>
    </row>
    <row r="776" ht="15">
      <c r="D776" s="216"/>
    </row>
    <row r="777" ht="15">
      <c r="D777" s="216"/>
    </row>
    <row r="778" ht="15">
      <c r="D778" s="216"/>
    </row>
    <row r="779" ht="15">
      <c r="D779" s="216"/>
    </row>
    <row r="780" ht="15">
      <c r="D780" s="216"/>
    </row>
    <row r="781" ht="15">
      <c r="D781" s="216"/>
    </row>
    <row r="782" ht="15">
      <c r="D782" s="216"/>
    </row>
    <row r="783" ht="15">
      <c r="D783" s="216"/>
    </row>
    <row r="784" ht="15">
      <c r="D784" s="216"/>
    </row>
    <row r="785" ht="15">
      <c r="D785" s="216"/>
    </row>
    <row r="786" ht="15">
      <c r="D786" s="216"/>
    </row>
    <row r="787" ht="15">
      <c r="D787" s="216"/>
    </row>
    <row r="788" ht="15">
      <c r="D788" s="216"/>
    </row>
    <row r="789" ht="15">
      <c r="D789" s="216"/>
    </row>
    <row r="790" ht="15">
      <c r="D790" s="216"/>
    </row>
    <row r="791" ht="15">
      <c r="D791" s="216"/>
    </row>
    <row r="792" ht="15">
      <c r="D792" s="216"/>
    </row>
    <row r="793" ht="15">
      <c r="D793" s="216"/>
    </row>
    <row r="794" ht="15">
      <c r="D794" s="216"/>
    </row>
    <row r="795" ht="15">
      <c r="D795" s="216"/>
    </row>
    <row r="796" ht="15">
      <c r="D796" s="216"/>
    </row>
    <row r="797" ht="15">
      <c r="D797" s="216"/>
    </row>
    <row r="798" ht="15">
      <c r="D798" s="216"/>
    </row>
    <row r="799" ht="15">
      <c r="D799" s="216"/>
    </row>
    <row r="800" ht="15">
      <c r="D800" s="216"/>
    </row>
    <row r="801" ht="15">
      <c r="D801" s="216"/>
    </row>
    <row r="802" ht="15">
      <c r="D802" s="216"/>
    </row>
    <row r="803" ht="15">
      <c r="D803" s="216"/>
    </row>
    <row r="804" ht="15">
      <c r="D804" s="216"/>
    </row>
    <row r="805" ht="15">
      <c r="D805" s="216"/>
    </row>
    <row r="806" ht="15">
      <c r="D806" s="216"/>
    </row>
    <row r="807" ht="15">
      <c r="D807" s="216"/>
    </row>
    <row r="808" ht="15">
      <c r="D808" s="216"/>
    </row>
    <row r="809" ht="15">
      <c r="D809" s="216"/>
    </row>
    <row r="810" ht="15">
      <c r="D810" s="216"/>
    </row>
    <row r="811" ht="15">
      <c r="D811" s="216"/>
    </row>
    <row r="812" ht="15">
      <c r="D812" s="216"/>
    </row>
    <row r="813" ht="15">
      <c r="D813" s="216"/>
    </row>
    <row r="814" ht="15">
      <c r="D814" s="216"/>
    </row>
    <row r="815" ht="15">
      <c r="D815" s="216"/>
    </row>
    <row r="816" ht="15">
      <c r="D816" s="216"/>
    </row>
    <row r="817" ht="15">
      <c r="D817" s="216"/>
    </row>
    <row r="818" ht="15">
      <c r="D818" s="216"/>
    </row>
    <row r="819" ht="15">
      <c r="D819" s="216"/>
    </row>
    <row r="820" ht="15">
      <c r="D820" s="216"/>
    </row>
    <row r="821" ht="15">
      <c r="D821" s="216"/>
    </row>
    <row r="822" ht="15">
      <c r="D822" s="216"/>
    </row>
    <row r="823" ht="15">
      <c r="D823" s="216"/>
    </row>
    <row r="824" ht="15">
      <c r="D824" s="216"/>
    </row>
    <row r="825" ht="15">
      <c r="D825" s="216"/>
    </row>
    <row r="826" ht="15">
      <c r="D826" s="216"/>
    </row>
    <row r="827" ht="15">
      <c r="D827" s="216"/>
    </row>
    <row r="828" ht="15">
      <c r="D828" s="216"/>
    </row>
    <row r="829" ht="15">
      <c r="D829" s="216"/>
    </row>
    <row r="830" ht="15">
      <c r="D830" s="216"/>
    </row>
    <row r="831" ht="15">
      <c r="D831" s="216"/>
    </row>
    <row r="832" ht="15">
      <c r="D832" s="216"/>
    </row>
    <row r="833" ht="15">
      <c r="D833" s="216"/>
    </row>
    <row r="834" ht="15">
      <c r="D834" s="216"/>
    </row>
    <row r="835" ht="15">
      <c r="D835" s="216"/>
    </row>
    <row r="836" ht="15">
      <c r="D836" s="216"/>
    </row>
    <row r="837" ht="15">
      <c r="D837" s="216"/>
    </row>
    <row r="838" ht="15">
      <c r="D838" s="216"/>
    </row>
    <row r="839" ht="15">
      <c r="D839" s="216"/>
    </row>
    <row r="840" ht="15">
      <c r="D840" s="216"/>
    </row>
    <row r="841" ht="15">
      <c r="D841" s="216"/>
    </row>
    <row r="842" ht="15">
      <c r="D842" s="216"/>
    </row>
    <row r="843" ht="15">
      <c r="D843" s="216"/>
    </row>
    <row r="844" ht="15">
      <c r="D844" s="216"/>
    </row>
    <row r="845" ht="15">
      <c r="D845" s="216"/>
    </row>
    <row r="846" ht="15">
      <c r="D846" s="216"/>
    </row>
    <row r="847" ht="15">
      <c r="D847" s="216"/>
    </row>
    <row r="848" ht="15">
      <c r="D848" s="216"/>
    </row>
    <row r="849" ht="15">
      <c r="D849" s="216"/>
    </row>
    <row r="850" ht="15">
      <c r="D850" s="216"/>
    </row>
    <row r="851" ht="15">
      <c r="D851" s="216"/>
    </row>
    <row r="852" ht="15">
      <c r="D852" s="216"/>
    </row>
    <row r="853" ht="15">
      <c r="D853" s="216"/>
    </row>
    <row r="854" ht="15">
      <c r="D854" s="216"/>
    </row>
    <row r="855" ht="15">
      <c r="D855" s="216"/>
    </row>
    <row r="856" ht="15">
      <c r="D856" s="216"/>
    </row>
    <row r="857" ht="15">
      <c r="D857" s="216"/>
    </row>
    <row r="858" ht="15">
      <c r="D858" s="216"/>
    </row>
    <row r="859" ht="15">
      <c r="D859" s="216"/>
    </row>
    <row r="860" ht="15">
      <c r="D860" s="216"/>
    </row>
    <row r="861" ht="15">
      <c r="D861" s="216"/>
    </row>
    <row r="862" ht="15">
      <c r="D862" s="216"/>
    </row>
    <row r="863" ht="15">
      <c r="D863" s="216"/>
    </row>
    <row r="864" ht="15">
      <c r="D864" s="216"/>
    </row>
    <row r="865" ht="15">
      <c r="D865" s="216"/>
    </row>
    <row r="866" ht="15">
      <c r="D866" s="216"/>
    </row>
    <row r="867" ht="15">
      <c r="D867" s="216"/>
    </row>
    <row r="868" ht="15">
      <c r="D868" s="216"/>
    </row>
    <row r="869" ht="15">
      <c r="D869" s="216"/>
    </row>
    <row r="870" ht="15">
      <c r="D870" s="216"/>
    </row>
    <row r="871" ht="15">
      <c r="D871" s="216"/>
    </row>
    <row r="872" ht="15">
      <c r="D872" s="216"/>
    </row>
    <row r="873" ht="15">
      <c r="D873" s="216"/>
    </row>
    <row r="874" ht="15">
      <c r="D874" s="216"/>
    </row>
    <row r="875" ht="15">
      <c r="D875" s="216"/>
    </row>
    <row r="876" ht="15">
      <c r="D876" s="216"/>
    </row>
    <row r="877" ht="15">
      <c r="D877" s="216"/>
    </row>
    <row r="878" ht="15">
      <c r="D878" s="216"/>
    </row>
    <row r="879" ht="15">
      <c r="D879" s="216"/>
    </row>
    <row r="880" ht="15">
      <c r="D880" s="216"/>
    </row>
    <row r="881" ht="15">
      <c r="D881" s="216"/>
    </row>
    <row r="882" ht="15">
      <c r="D882" s="216"/>
    </row>
    <row r="883" ht="15">
      <c r="D883" s="216"/>
    </row>
    <row r="884" ht="15">
      <c r="D884" s="216"/>
    </row>
    <row r="885" ht="15">
      <c r="D885" s="216"/>
    </row>
    <row r="886" ht="15">
      <c r="D886" s="216"/>
    </row>
    <row r="887" ht="15">
      <c r="D887" s="216"/>
    </row>
    <row r="888" ht="15">
      <c r="D888" s="216"/>
    </row>
    <row r="889" ht="15">
      <c r="D889" s="216"/>
    </row>
    <row r="890" ht="15">
      <c r="D890" s="216"/>
    </row>
    <row r="891" ht="15">
      <c r="D891" s="216"/>
    </row>
    <row r="892" ht="15">
      <c r="D892" s="216"/>
    </row>
    <row r="893" ht="15">
      <c r="D893" s="216"/>
    </row>
    <row r="894" ht="15">
      <c r="D894" s="216"/>
    </row>
    <row r="895" ht="15">
      <c r="D895" s="216"/>
    </row>
    <row r="896" ht="15">
      <c r="D896" s="216"/>
    </row>
    <row r="897" ht="15">
      <c r="D897" s="216"/>
    </row>
    <row r="898" ht="15">
      <c r="D898" s="216"/>
    </row>
    <row r="899" ht="15">
      <c r="D899" s="216"/>
    </row>
    <row r="900" ht="15">
      <c r="D900" s="216"/>
    </row>
    <row r="901" ht="15">
      <c r="D901" s="216"/>
    </row>
    <row r="902" ht="15">
      <c r="D902" s="216"/>
    </row>
    <row r="903" ht="15">
      <c r="D903" s="216"/>
    </row>
    <row r="904" ht="15">
      <c r="D904" s="216"/>
    </row>
    <row r="905" ht="15">
      <c r="D905" s="216"/>
    </row>
    <row r="906" ht="15">
      <c r="D906" s="216"/>
    </row>
    <row r="907" ht="15">
      <c r="D907" s="216"/>
    </row>
    <row r="908" ht="15">
      <c r="D908" s="216"/>
    </row>
    <row r="909" ht="15">
      <c r="D909" s="216"/>
    </row>
    <row r="910" ht="15">
      <c r="D910" s="216"/>
    </row>
    <row r="911" ht="15">
      <c r="D911" s="216"/>
    </row>
    <row r="912" ht="15">
      <c r="D912" s="216"/>
    </row>
    <row r="913" ht="15">
      <c r="D913" s="216"/>
    </row>
    <row r="914" ht="15">
      <c r="D914" s="216"/>
    </row>
    <row r="915" ht="15">
      <c r="D915" s="216"/>
    </row>
    <row r="916" ht="15">
      <c r="D916" s="216"/>
    </row>
    <row r="917" ht="15">
      <c r="D917" s="216"/>
    </row>
    <row r="918" ht="15">
      <c r="D918" s="216"/>
    </row>
    <row r="919" ht="15">
      <c r="D919" s="216"/>
    </row>
    <row r="920" ht="15">
      <c r="D920" s="216"/>
    </row>
    <row r="921" ht="15">
      <c r="D921" s="216"/>
    </row>
    <row r="922" ht="15">
      <c r="D922" s="216"/>
    </row>
    <row r="923" ht="15">
      <c r="D923" s="216"/>
    </row>
    <row r="924" ht="15">
      <c r="D924" s="216"/>
    </row>
    <row r="925" ht="15">
      <c r="D925" s="216"/>
    </row>
    <row r="926" ht="15">
      <c r="D926" s="216"/>
    </row>
    <row r="927" ht="15">
      <c r="D927" s="216"/>
    </row>
    <row r="928" ht="15">
      <c r="D928" s="216"/>
    </row>
    <row r="929" ht="15">
      <c r="D929" s="216"/>
    </row>
    <row r="930" ht="15">
      <c r="D930" s="216"/>
    </row>
    <row r="931" ht="15">
      <c r="D931" s="216"/>
    </row>
    <row r="932" ht="15">
      <c r="D932" s="216"/>
    </row>
    <row r="933" ht="15">
      <c r="D933" s="216"/>
    </row>
    <row r="934" ht="15">
      <c r="D934" s="216"/>
    </row>
    <row r="935" ht="15">
      <c r="D935" s="216"/>
    </row>
    <row r="936" ht="15">
      <c r="D936" s="216"/>
    </row>
    <row r="937" ht="15">
      <c r="D937" s="216"/>
    </row>
    <row r="938" ht="15">
      <c r="D938" s="216"/>
    </row>
    <row r="939" ht="15">
      <c r="D939" s="216"/>
    </row>
    <row r="940" ht="15">
      <c r="D940" s="216"/>
    </row>
    <row r="941" ht="15">
      <c r="D941" s="216"/>
    </row>
    <row r="942" ht="15">
      <c r="D942" s="216"/>
    </row>
    <row r="943" ht="15">
      <c r="D943" s="216"/>
    </row>
    <row r="944" ht="15">
      <c r="D944" s="216"/>
    </row>
    <row r="945" ht="15">
      <c r="D945" s="216"/>
    </row>
    <row r="946" ht="15">
      <c r="D946" s="216"/>
    </row>
    <row r="947" ht="15">
      <c r="D947" s="216"/>
    </row>
    <row r="948" ht="15">
      <c r="D948" s="216"/>
    </row>
    <row r="949" ht="15">
      <c r="D949" s="216"/>
    </row>
    <row r="950" ht="15">
      <c r="D950" s="216"/>
    </row>
    <row r="951" ht="15">
      <c r="D951" s="216"/>
    </row>
    <row r="952" ht="15">
      <c r="D952" s="216"/>
    </row>
    <row r="953" ht="15">
      <c r="D953" s="216"/>
    </row>
    <row r="954" ht="15">
      <c r="D954" s="216"/>
    </row>
    <row r="955" ht="15">
      <c r="D955" s="216"/>
    </row>
    <row r="956" ht="15">
      <c r="D956" s="216"/>
    </row>
    <row r="957" ht="15">
      <c r="D957" s="216"/>
    </row>
    <row r="958" ht="15">
      <c r="D958" s="216"/>
    </row>
    <row r="959" ht="15">
      <c r="D959" s="216"/>
    </row>
    <row r="960" ht="15">
      <c r="D960" s="216"/>
    </row>
    <row r="961" ht="15">
      <c r="D961" s="216"/>
    </row>
    <row r="962" ht="15">
      <c r="D962" s="216"/>
    </row>
    <row r="963" ht="15">
      <c r="D963" s="216"/>
    </row>
    <row r="964" ht="15">
      <c r="D964" s="216"/>
    </row>
    <row r="965" ht="15">
      <c r="D965" s="216"/>
    </row>
    <row r="966" ht="15">
      <c r="D966" s="216"/>
    </row>
    <row r="967" ht="15">
      <c r="D967" s="216"/>
    </row>
    <row r="968" ht="15">
      <c r="D968" s="216"/>
    </row>
    <row r="969" ht="15">
      <c r="D969" s="216"/>
    </row>
    <row r="970" ht="15">
      <c r="D970" s="216"/>
    </row>
    <row r="971" ht="15">
      <c r="D971" s="216"/>
    </row>
    <row r="972" ht="15">
      <c r="D972" s="216"/>
    </row>
    <row r="973" ht="15">
      <c r="D973" s="216"/>
    </row>
    <row r="974" ht="15">
      <c r="D974" s="216"/>
    </row>
    <row r="975" ht="15">
      <c r="D975" s="216"/>
    </row>
    <row r="976" ht="15">
      <c r="D976" s="216"/>
    </row>
    <row r="977" ht="15">
      <c r="D977" s="216"/>
    </row>
    <row r="978" ht="15">
      <c r="D978" s="216"/>
    </row>
    <row r="979" ht="15">
      <c r="D979" s="216"/>
    </row>
    <row r="980" ht="15">
      <c r="D980" s="216"/>
    </row>
    <row r="981" ht="15">
      <c r="D981" s="216"/>
    </row>
    <row r="982" ht="15">
      <c r="D982" s="216"/>
    </row>
    <row r="983" ht="15">
      <c r="D983" s="216"/>
    </row>
    <row r="984" ht="15">
      <c r="D984" s="216"/>
    </row>
    <row r="985" ht="15">
      <c r="D985" s="216"/>
    </row>
    <row r="986" ht="15">
      <c r="D986" s="216"/>
    </row>
    <row r="987" ht="15">
      <c r="D987" s="216"/>
    </row>
    <row r="988" ht="15">
      <c r="D988" s="216"/>
    </row>
    <row r="989" ht="15">
      <c r="D989" s="216"/>
    </row>
    <row r="990" ht="15">
      <c r="D990" s="216"/>
    </row>
    <row r="991" ht="15">
      <c r="D991" s="216"/>
    </row>
    <row r="992" ht="15">
      <c r="D992" s="216"/>
    </row>
    <row r="993" ht="15">
      <c r="D993" s="216"/>
    </row>
    <row r="994" ht="15">
      <c r="D994" s="216"/>
    </row>
    <row r="995" ht="15">
      <c r="D995" s="216"/>
    </row>
    <row r="996" ht="15">
      <c r="D996" s="216"/>
    </row>
    <row r="997" ht="15">
      <c r="D997" s="216"/>
    </row>
    <row r="998" ht="15">
      <c r="D998" s="216"/>
    </row>
    <row r="999" ht="15">
      <c r="D999" s="216"/>
    </row>
    <row r="1000" ht="15">
      <c r="D1000" s="216"/>
    </row>
    <row r="1001" ht="15">
      <c r="D1001" s="216"/>
    </row>
    <row r="1002" ht="15">
      <c r="D1002" s="216"/>
    </row>
    <row r="1003" ht="15">
      <c r="D1003" s="216"/>
    </row>
    <row r="1004" ht="15">
      <c r="D1004" s="216"/>
    </row>
    <row r="1005" ht="15">
      <c r="D1005" s="216"/>
    </row>
    <row r="1006" ht="15">
      <c r="D1006" s="216"/>
    </row>
    <row r="1007" ht="15">
      <c r="D1007" s="216"/>
    </row>
    <row r="1008" ht="15">
      <c r="D1008" s="216"/>
    </row>
    <row r="1009" ht="15">
      <c r="D1009" s="216"/>
    </row>
    <row r="1010" ht="15">
      <c r="D1010" s="216"/>
    </row>
    <row r="1011" ht="15">
      <c r="D1011" s="216"/>
    </row>
    <row r="1012" ht="15">
      <c r="D1012" s="216"/>
    </row>
    <row r="1013" ht="15">
      <c r="D1013" s="216"/>
    </row>
    <row r="1014" ht="15">
      <c r="D1014" s="216"/>
    </row>
    <row r="1015" ht="15">
      <c r="D1015" s="216"/>
    </row>
    <row r="1016" ht="15">
      <c r="D1016" s="216"/>
    </row>
    <row r="1017" ht="15">
      <c r="D1017" s="216"/>
    </row>
    <row r="1018" ht="15">
      <c r="D1018" s="216"/>
    </row>
    <row r="1019" ht="15">
      <c r="D1019" s="216"/>
    </row>
    <row r="1020" ht="15">
      <c r="D1020" s="216"/>
    </row>
    <row r="1021" ht="15">
      <c r="D1021" s="216"/>
    </row>
    <row r="1022" ht="15">
      <c r="D1022" s="216"/>
    </row>
    <row r="1023" ht="15">
      <c r="D1023" s="216"/>
    </row>
    <row r="1024" ht="15">
      <c r="D1024" s="216"/>
    </row>
    <row r="1025" ht="15">
      <c r="D1025" s="216"/>
    </row>
    <row r="1026" ht="15">
      <c r="D1026" s="216"/>
    </row>
    <row r="1027" ht="15">
      <c r="D1027" s="216"/>
    </row>
    <row r="1028" ht="15">
      <c r="D1028" s="216"/>
    </row>
    <row r="1029" ht="15">
      <c r="D1029" s="216"/>
    </row>
    <row r="1030" ht="15">
      <c r="D1030" s="216"/>
    </row>
    <row r="1031" ht="15">
      <c r="D1031" s="216"/>
    </row>
    <row r="1032" ht="15">
      <c r="D1032" s="216"/>
    </row>
    <row r="1033" ht="15">
      <c r="D1033" s="216"/>
    </row>
    <row r="1034" ht="15">
      <c r="D1034" s="216"/>
    </row>
    <row r="1035" ht="15">
      <c r="D1035" s="216"/>
    </row>
    <row r="1036" ht="15">
      <c r="D1036" s="216"/>
    </row>
    <row r="1037" ht="15">
      <c r="D1037" s="216"/>
    </row>
    <row r="1038" ht="15">
      <c r="D1038" s="216"/>
    </row>
    <row r="1039" ht="15">
      <c r="D1039" s="216"/>
    </row>
    <row r="1040" ht="15">
      <c r="D1040" s="216"/>
    </row>
    <row r="1041" ht="15">
      <c r="D1041" s="216"/>
    </row>
    <row r="1042" ht="15">
      <c r="D1042" s="216"/>
    </row>
    <row r="1043" ht="15">
      <c r="D1043" s="216"/>
    </row>
    <row r="1044" ht="15">
      <c r="D1044" s="216"/>
    </row>
    <row r="1045" ht="15">
      <c r="D1045" s="216"/>
    </row>
    <row r="1046" ht="15">
      <c r="D1046" s="216"/>
    </row>
    <row r="1047" ht="15">
      <c r="D1047" s="216"/>
    </row>
    <row r="1048" ht="15">
      <c r="D1048" s="216"/>
    </row>
    <row r="1049" ht="15">
      <c r="D1049" s="216"/>
    </row>
    <row r="1050" ht="15">
      <c r="D1050" s="216"/>
    </row>
    <row r="1051" ht="15">
      <c r="D1051" s="216"/>
    </row>
    <row r="1052" ht="15">
      <c r="D1052" s="216"/>
    </row>
    <row r="1053" ht="15">
      <c r="D1053" s="216"/>
    </row>
    <row r="1054" ht="15">
      <c r="D1054" s="216"/>
    </row>
    <row r="1055" ht="15">
      <c r="D1055" s="216"/>
    </row>
    <row r="1056" ht="15">
      <c r="D1056" s="216"/>
    </row>
    <row r="1057" ht="15">
      <c r="D1057" s="216"/>
    </row>
    <row r="1058" ht="15">
      <c r="D1058" s="216"/>
    </row>
    <row r="1059" ht="15">
      <c r="D1059" s="216"/>
    </row>
    <row r="1060" ht="15">
      <c r="D1060" s="216"/>
    </row>
    <row r="1061" ht="15">
      <c r="D1061" s="216"/>
    </row>
    <row r="1062" ht="15">
      <c r="D1062" s="216"/>
    </row>
    <row r="1063" ht="15">
      <c r="D1063" s="216"/>
    </row>
    <row r="1064" ht="15">
      <c r="D1064" s="216"/>
    </row>
    <row r="1065" ht="15">
      <c r="D1065" s="216"/>
    </row>
    <row r="1066" ht="15">
      <c r="D1066" s="216"/>
    </row>
    <row r="1067" ht="15">
      <c r="D1067" s="216"/>
    </row>
    <row r="1068" ht="15">
      <c r="D1068" s="216"/>
    </row>
    <row r="1069" ht="15">
      <c r="D1069" s="216"/>
    </row>
    <row r="1070" ht="15">
      <c r="D1070" s="216"/>
    </row>
    <row r="1071" ht="15">
      <c r="D1071" s="216"/>
    </row>
    <row r="1072" ht="15">
      <c r="D1072" s="216"/>
    </row>
    <row r="1073" ht="15">
      <c r="D1073" s="216"/>
    </row>
    <row r="1074" ht="15">
      <c r="D1074" s="216"/>
    </row>
    <row r="1075" ht="15">
      <c r="D1075" s="216"/>
    </row>
    <row r="1076" ht="15">
      <c r="D1076" s="216"/>
    </row>
    <row r="1077" ht="15">
      <c r="D1077" s="216"/>
    </row>
    <row r="1078" ht="15">
      <c r="D1078" s="216"/>
    </row>
    <row r="1079" ht="15">
      <c r="D1079" s="216"/>
    </row>
    <row r="1080" ht="15">
      <c r="D1080" s="216"/>
    </row>
    <row r="1081" ht="15">
      <c r="D1081" s="216"/>
    </row>
    <row r="1082" ht="15">
      <c r="D1082" s="216"/>
    </row>
    <row r="1083" ht="15">
      <c r="D1083" s="216"/>
    </row>
    <row r="1084" ht="15">
      <c r="D1084" s="216"/>
    </row>
    <row r="1085" ht="15">
      <c r="D1085" s="216"/>
    </row>
    <row r="1086" ht="15">
      <c r="D1086" s="216"/>
    </row>
    <row r="1087" ht="15">
      <c r="D1087" s="216"/>
    </row>
    <row r="1088" ht="15">
      <c r="D1088" s="216"/>
    </row>
    <row r="1089" ht="15">
      <c r="D1089" s="216"/>
    </row>
    <row r="1090" ht="15">
      <c r="D1090" s="216"/>
    </row>
    <row r="1091" ht="15">
      <c r="D1091" s="216"/>
    </row>
    <row r="1092" ht="15">
      <c r="D1092" s="216"/>
    </row>
    <row r="1093" ht="15">
      <c r="D1093" s="216"/>
    </row>
    <row r="1094" ht="15">
      <c r="D1094" s="216"/>
    </row>
    <row r="1095" ht="15">
      <c r="D1095" s="216"/>
    </row>
    <row r="1096" ht="15">
      <c r="D1096" s="216"/>
    </row>
    <row r="1097" ht="15">
      <c r="D1097" s="216"/>
    </row>
    <row r="1098" ht="15">
      <c r="D1098" s="216"/>
    </row>
    <row r="1099" ht="15">
      <c r="D1099" s="216"/>
    </row>
    <row r="1100" ht="15">
      <c r="D1100" s="216"/>
    </row>
    <row r="1101" ht="15">
      <c r="D1101" s="216"/>
    </row>
    <row r="1102" ht="15">
      <c r="D1102" s="216"/>
    </row>
    <row r="1103" ht="15">
      <c r="D1103" s="216"/>
    </row>
    <row r="1104" ht="15">
      <c r="D1104" s="216"/>
    </row>
    <row r="1105" ht="15">
      <c r="D1105" s="216"/>
    </row>
    <row r="1106" ht="15">
      <c r="D1106" s="216"/>
    </row>
    <row r="1107" ht="15">
      <c r="D1107" s="216"/>
    </row>
    <row r="1108" ht="15">
      <c r="D1108" s="216"/>
    </row>
    <row r="1109" ht="15">
      <c r="D1109" s="216"/>
    </row>
    <row r="1110" ht="15">
      <c r="D1110" s="216"/>
    </row>
    <row r="1111" ht="15">
      <c r="D1111" s="216"/>
    </row>
    <row r="1112" ht="15">
      <c r="D1112" s="216"/>
    </row>
    <row r="1113" ht="15">
      <c r="D1113" s="216"/>
    </row>
    <row r="1114" ht="15">
      <c r="D1114" s="216"/>
    </row>
    <row r="1115" ht="15">
      <c r="D1115" s="216"/>
    </row>
    <row r="1116" ht="15">
      <c r="D1116" s="216"/>
    </row>
    <row r="1117" ht="15">
      <c r="D1117" s="216"/>
    </row>
    <row r="1118" ht="15">
      <c r="D1118" s="216"/>
    </row>
    <row r="1119" ht="15">
      <c r="D1119" s="216"/>
    </row>
    <row r="1120" ht="15">
      <c r="D1120" s="216"/>
    </row>
    <row r="1121" ht="15">
      <c r="D1121" s="216"/>
    </row>
    <row r="1122" ht="15">
      <c r="D1122" s="216"/>
    </row>
    <row r="1123" ht="15">
      <c r="D1123" s="216"/>
    </row>
    <row r="1124" ht="15">
      <c r="D1124" s="216"/>
    </row>
    <row r="1125" ht="15">
      <c r="D1125" s="216"/>
    </row>
    <row r="1126" ht="15">
      <c r="D1126" s="216"/>
    </row>
    <row r="1127" ht="15">
      <c r="D1127" s="216"/>
    </row>
    <row r="1128" ht="15">
      <c r="D1128" s="216"/>
    </row>
    <row r="1129" ht="15">
      <c r="D1129" s="216"/>
    </row>
    <row r="1130" ht="15">
      <c r="D1130" s="216"/>
    </row>
    <row r="1131" ht="15">
      <c r="D1131" s="216"/>
    </row>
    <row r="1132" ht="15">
      <c r="D1132" s="216"/>
    </row>
    <row r="1133" ht="15">
      <c r="D1133" s="216"/>
    </row>
    <row r="1134" ht="15">
      <c r="D1134" s="216"/>
    </row>
    <row r="1135" ht="15">
      <c r="D1135" s="216"/>
    </row>
    <row r="1136" ht="15">
      <c r="D1136" s="216"/>
    </row>
    <row r="1137" ht="15">
      <c r="D1137" s="216"/>
    </row>
    <row r="1138" ht="15">
      <c r="D1138" s="216"/>
    </row>
    <row r="1139" ht="15">
      <c r="D1139" s="216"/>
    </row>
    <row r="1140" ht="15">
      <c r="D1140" s="216"/>
    </row>
    <row r="1141" ht="15">
      <c r="D1141" s="216"/>
    </row>
    <row r="1142" ht="15">
      <c r="D1142" s="216"/>
    </row>
    <row r="1143" ht="15">
      <c r="D1143" s="216"/>
    </row>
    <row r="1144" ht="15">
      <c r="D1144" s="216"/>
    </row>
    <row r="1145" ht="15">
      <c r="D1145" s="216"/>
    </row>
    <row r="1146" ht="15">
      <c r="D1146" s="216"/>
    </row>
    <row r="1147" ht="15">
      <c r="D1147" s="216"/>
    </row>
    <row r="1148" ht="15">
      <c r="D1148" s="216"/>
    </row>
    <row r="1149" ht="15">
      <c r="D1149" s="216"/>
    </row>
    <row r="1150" ht="15">
      <c r="D1150" s="216"/>
    </row>
    <row r="1151" ht="15">
      <c r="D1151" s="216"/>
    </row>
    <row r="1152" ht="15">
      <c r="D1152" s="216"/>
    </row>
    <row r="1153" ht="15">
      <c r="D1153" s="216"/>
    </row>
    <row r="1154" ht="15">
      <c r="D1154" s="216"/>
    </row>
    <row r="1155" ht="15">
      <c r="D1155" s="216"/>
    </row>
    <row r="1156" ht="15">
      <c r="D1156" s="216"/>
    </row>
    <row r="1157" ht="15">
      <c r="D1157" s="216"/>
    </row>
    <row r="1158" ht="15">
      <c r="D1158" s="216"/>
    </row>
    <row r="1159" ht="15">
      <c r="D1159" s="216"/>
    </row>
    <row r="1160" ht="15">
      <c r="D1160" s="216"/>
    </row>
    <row r="1161" ht="15">
      <c r="D1161" s="216"/>
    </row>
    <row r="1162" ht="15">
      <c r="D1162" s="216"/>
    </row>
    <row r="1163" ht="15">
      <c r="D1163" s="216"/>
    </row>
    <row r="1164" ht="15">
      <c r="D1164" s="216"/>
    </row>
    <row r="1165" ht="15">
      <c r="D1165" s="216"/>
    </row>
    <row r="1166" ht="15">
      <c r="D1166" s="216"/>
    </row>
    <row r="1167" ht="15">
      <c r="D1167" s="216"/>
    </row>
    <row r="1168" ht="15">
      <c r="D1168" s="216"/>
    </row>
    <row r="1169" ht="15">
      <c r="D1169" s="216"/>
    </row>
    <row r="1170" ht="15">
      <c r="D1170" s="216"/>
    </row>
    <row r="1171" ht="15">
      <c r="D1171" s="216"/>
    </row>
    <row r="1172" ht="15">
      <c r="D1172" s="216"/>
    </row>
    <row r="1173" ht="15">
      <c r="D1173" s="216"/>
    </row>
    <row r="1174" ht="15">
      <c r="D1174" s="216"/>
    </row>
    <row r="1175" ht="15">
      <c r="D1175" s="216"/>
    </row>
    <row r="1176" ht="15">
      <c r="D1176" s="216"/>
    </row>
    <row r="1177" ht="15">
      <c r="D1177" s="216"/>
    </row>
    <row r="1178" ht="15">
      <c r="D1178" s="216"/>
    </row>
    <row r="1179" ht="15">
      <c r="D1179" s="216"/>
    </row>
    <row r="1180" ht="15">
      <c r="D1180" s="216"/>
    </row>
    <row r="1181" ht="15">
      <c r="D1181" s="216"/>
    </row>
    <row r="1182" ht="15">
      <c r="D1182" s="216"/>
    </row>
    <row r="1183" ht="15">
      <c r="D1183" s="216"/>
    </row>
    <row r="1184" ht="15">
      <c r="D1184" s="216"/>
    </row>
    <row r="1185" ht="15">
      <c r="D1185" s="216"/>
    </row>
    <row r="1186" ht="15">
      <c r="D1186" s="216"/>
    </row>
    <row r="1187" ht="15">
      <c r="D1187" s="216"/>
    </row>
    <row r="1188" ht="15">
      <c r="D1188" s="216"/>
    </row>
    <row r="1189" ht="15">
      <c r="D1189" s="216"/>
    </row>
    <row r="1190" ht="15">
      <c r="D1190" s="216"/>
    </row>
    <row r="1191" ht="15">
      <c r="D1191" s="216"/>
    </row>
    <row r="1192" ht="15">
      <c r="D1192" s="216"/>
    </row>
    <row r="1193" ht="15">
      <c r="D1193" s="216"/>
    </row>
    <row r="1194" ht="15">
      <c r="D1194" s="216"/>
    </row>
    <row r="1195" ht="15">
      <c r="D1195" s="216"/>
    </row>
    <row r="1196" ht="15">
      <c r="D1196" s="216"/>
    </row>
    <row r="1197" ht="15">
      <c r="D1197" s="216"/>
    </row>
    <row r="1198" ht="15">
      <c r="D1198" s="216"/>
    </row>
    <row r="1199" ht="15">
      <c r="D1199" s="216"/>
    </row>
    <row r="1200" ht="15">
      <c r="D1200" s="216"/>
    </row>
    <row r="1201" ht="15">
      <c r="D1201" s="216"/>
    </row>
    <row r="1202" ht="15">
      <c r="D1202" s="216"/>
    </row>
    <row r="1203" ht="15">
      <c r="D1203" s="216"/>
    </row>
    <row r="1204" ht="15">
      <c r="D1204" s="216"/>
    </row>
    <row r="1205" ht="15">
      <c r="D1205" s="216"/>
    </row>
    <row r="1206" ht="15">
      <c r="D1206" s="216"/>
    </row>
    <row r="1207" ht="15">
      <c r="D1207" s="216"/>
    </row>
    <row r="1208" ht="15">
      <c r="D1208" s="216"/>
    </row>
    <row r="1209" ht="15">
      <c r="D1209" s="216"/>
    </row>
    <row r="1210" ht="15">
      <c r="D1210" s="216"/>
    </row>
    <row r="1211" ht="15">
      <c r="D1211" s="216"/>
    </row>
    <row r="1212" ht="15">
      <c r="D1212" s="216"/>
    </row>
    <row r="1213" ht="15">
      <c r="D1213" s="216"/>
    </row>
    <row r="1214" ht="15">
      <c r="D1214" s="216"/>
    </row>
    <row r="1215" ht="15">
      <c r="D1215" s="216"/>
    </row>
    <row r="1216" ht="15">
      <c r="D1216" s="216"/>
    </row>
    <row r="1217" ht="15">
      <c r="D1217" s="216"/>
    </row>
    <row r="1218" ht="15">
      <c r="D1218" s="216"/>
    </row>
    <row r="1219" ht="15">
      <c r="D1219" s="216"/>
    </row>
    <row r="1220" ht="15">
      <c r="D1220" s="216"/>
    </row>
    <row r="1221" ht="15">
      <c r="D1221" s="216"/>
    </row>
    <row r="1222" ht="15">
      <c r="D1222" s="216"/>
    </row>
    <row r="1223" ht="15">
      <c r="D1223" s="216"/>
    </row>
    <row r="1224" ht="15">
      <c r="D1224" s="216"/>
    </row>
    <row r="1225" ht="15">
      <c r="D1225" s="216"/>
    </row>
    <row r="1226" ht="15">
      <c r="D1226" s="216"/>
    </row>
    <row r="1227" ht="15">
      <c r="D1227" s="216"/>
    </row>
    <row r="1228" ht="15">
      <c r="D1228" s="216"/>
    </row>
    <row r="1229" ht="15">
      <c r="D1229" s="216"/>
    </row>
    <row r="1230" ht="15">
      <c r="D1230" s="216"/>
    </row>
    <row r="1231" ht="15">
      <c r="D1231" s="216"/>
    </row>
    <row r="1232" ht="15">
      <c r="D1232" s="216"/>
    </row>
    <row r="1233" ht="15">
      <c r="D1233" s="216"/>
    </row>
    <row r="1234" ht="15">
      <c r="D1234" s="216"/>
    </row>
    <row r="1235" ht="15">
      <c r="D1235" s="216"/>
    </row>
    <row r="1236" ht="15">
      <c r="D1236" s="216"/>
    </row>
    <row r="1237" ht="15">
      <c r="D1237" s="216"/>
    </row>
    <row r="1238" ht="15">
      <c r="D1238" s="216"/>
    </row>
    <row r="1239" ht="15">
      <c r="D1239" s="216"/>
    </row>
    <row r="1240" ht="15">
      <c r="D1240" s="216"/>
    </row>
    <row r="1241" ht="15">
      <c r="D1241" s="216"/>
    </row>
    <row r="1242" ht="15">
      <c r="D1242" s="216"/>
    </row>
    <row r="1243" ht="15">
      <c r="D1243" s="216"/>
    </row>
    <row r="1244" ht="15">
      <c r="D1244" s="216"/>
    </row>
    <row r="1245" ht="15">
      <c r="D1245" s="216"/>
    </row>
    <row r="1246" ht="15">
      <c r="D1246" s="216"/>
    </row>
    <row r="1247" ht="15">
      <c r="D1247" s="216"/>
    </row>
    <row r="1248" ht="15">
      <c r="D1248" s="216"/>
    </row>
    <row r="1249" ht="15">
      <c r="D1249" s="216"/>
    </row>
    <row r="1250" ht="15">
      <c r="D1250" s="216"/>
    </row>
    <row r="1251" ht="15">
      <c r="D1251" s="216"/>
    </row>
    <row r="1252" ht="15">
      <c r="D1252" s="216"/>
    </row>
    <row r="1253" ht="15">
      <c r="D1253" s="216"/>
    </row>
    <row r="1254" ht="15">
      <c r="D1254" s="216"/>
    </row>
    <row r="1255" ht="15">
      <c r="D1255" s="216"/>
    </row>
    <row r="1256" ht="15">
      <c r="D1256" s="216"/>
    </row>
    <row r="1257" ht="15">
      <c r="D1257" s="216"/>
    </row>
    <row r="1258" ht="15">
      <c r="D1258" s="216"/>
    </row>
    <row r="1259" ht="15">
      <c r="D1259" s="216"/>
    </row>
    <row r="1260" ht="15">
      <c r="D1260" s="216"/>
    </row>
    <row r="1261" ht="15">
      <c r="D1261" s="216"/>
    </row>
    <row r="1262" ht="15">
      <c r="D1262" s="216"/>
    </row>
    <row r="1263" ht="15">
      <c r="D1263" s="216"/>
    </row>
    <row r="1264" ht="15">
      <c r="D1264" s="216"/>
    </row>
    <row r="1265" ht="15">
      <c r="D1265" s="216"/>
    </row>
    <row r="1266" ht="15">
      <c r="D1266" s="216"/>
    </row>
    <row r="1267" ht="15">
      <c r="D1267" s="216"/>
    </row>
    <row r="1268" ht="15">
      <c r="D1268" s="216"/>
    </row>
    <row r="1269" ht="15">
      <c r="D1269" s="216"/>
    </row>
    <row r="1270" ht="15">
      <c r="D1270" s="216"/>
    </row>
    <row r="1271" ht="15">
      <c r="D1271" s="216"/>
    </row>
    <row r="1272" ht="15">
      <c r="D1272" s="216"/>
    </row>
    <row r="1273" ht="15">
      <c r="D1273" s="216"/>
    </row>
    <row r="1274" ht="15">
      <c r="D1274" s="216"/>
    </row>
    <row r="1275" ht="15">
      <c r="D1275" s="216"/>
    </row>
    <row r="1276" ht="15">
      <c r="D1276" s="216"/>
    </row>
    <row r="1277" ht="15">
      <c r="D1277" s="216"/>
    </row>
    <row r="1278" ht="15">
      <c r="D1278" s="216"/>
    </row>
    <row r="1279" ht="15">
      <c r="D1279" s="216"/>
    </row>
    <row r="1280" ht="15">
      <c r="D1280" s="216"/>
    </row>
    <row r="1281" ht="15">
      <c r="D1281" s="216"/>
    </row>
    <row r="1282" ht="15">
      <c r="D1282" s="216"/>
    </row>
    <row r="1283" ht="15">
      <c r="D1283" s="216"/>
    </row>
    <row r="1284" ht="15">
      <c r="D1284" s="216"/>
    </row>
    <row r="1285" ht="15">
      <c r="D1285" s="216"/>
    </row>
    <row r="1286" ht="15">
      <c r="D1286" s="216"/>
    </row>
    <row r="1287" ht="15">
      <c r="D1287" s="216"/>
    </row>
    <row r="1288" ht="15">
      <c r="D1288" s="216"/>
    </row>
    <row r="1289" ht="15">
      <c r="D1289" s="216"/>
    </row>
    <row r="1290" ht="15">
      <c r="D1290" s="216"/>
    </row>
    <row r="1291" ht="15">
      <c r="D1291" s="216"/>
    </row>
    <row r="1292" ht="15">
      <c r="D1292" s="216"/>
    </row>
    <row r="1293" ht="15">
      <c r="D1293" s="216"/>
    </row>
    <row r="1294" ht="15">
      <c r="D1294" s="216"/>
    </row>
    <row r="1295" ht="15">
      <c r="D1295" s="216"/>
    </row>
    <row r="1296" ht="15">
      <c r="D1296" s="216"/>
    </row>
    <row r="1297" ht="15">
      <c r="D1297" s="216"/>
    </row>
    <row r="1298" ht="15">
      <c r="D1298" s="216"/>
    </row>
    <row r="1299" ht="15">
      <c r="D1299" s="216"/>
    </row>
    <row r="1300" ht="15">
      <c r="D1300" s="216"/>
    </row>
    <row r="1301" ht="15">
      <c r="D1301" s="216"/>
    </row>
    <row r="1302" ht="15">
      <c r="D1302" s="216"/>
    </row>
    <row r="1303" ht="15">
      <c r="D1303" s="216"/>
    </row>
    <row r="1304" ht="15">
      <c r="D1304" s="216"/>
    </row>
    <row r="1305" ht="15">
      <c r="D1305" s="216"/>
    </row>
    <row r="1306" ht="15">
      <c r="D1306" s="216"/>
    </row>
    <row r="1307" ht="15">
      <c r="D1307" s="216"/>
    </row>
    <row r="1308" ht="15">
      <c r="D1308" s="216"/>
    </row>
    <row r="1309" ht="15">
      <c r="D1309" s="216"/>
    </row>
    <row r="1310" ht="15">
      <c r="D1310" s="216"/>
    </row>
    <row r="1311" ht="15">
      <c r="D1311" s="216"/>
    </row>
    <row r="1312" ht="15">
      <c r="D1312" s="216"/>
    </row>
    <row r="1313" ht="15">
      <c r="D1313" s="216"/>
    </row>
    <row r="1314" ht="15">
      <c r="D1314" s="216"/>
    </row>
    <row r="1315" ht="15">
      <c r="D1315" s="216"/>
    </row>
    <row r="1316" ht="15">
      <c r="D1316" s="216"/>
    </row>
    <row r="1317" ht="15">
      <c r="D1317" s="216"/>
    </row>
    <row r="1318" ht="15">
      <c r="D1318" s="216"/>
    </row>
    <row r="1319" ht="15">
      <c r="D1319" s="216"/>
    </row>
    <row r="1320" ht="15">
      <c r="D1320" s="216"/>
    </row>
    <row r="1321" ht="15">
      <c r="D1321" s="216"/>
    </row>
    <row r="1322" ht="15">
      <c r="D1322" s="216"/>
    </row>
    <row r="1323" ht="15">
      <c r="D1323" s="216"/>
    </row>
    <row r="1324" ht="15">
      <c r="D1324" s="216"/>
    </row>
    <row r="1325" ht="15">
      <c r="D1325" s="216"/>
    </row>
    <row r="1326" ht="15">
      <c r="D1326" s="216"/>
    </row>
    <row r="1327" ht="15">
      <c r="D1327" s="216"/>
    </row>
    <row r="1328" ht="15">
      <c r="D1328" s="216"/>
    </row>
    <row r="1329" ht="15">
      <c r="D1329" s="216"/>
    </row>
    <row r="1330" ht="15">
      <c r="D1330" s="216"/>
    </row>
    <row r="1331" ht="15">
      <c r="D1331" s="216"/>
    </row>
    <row r="1332" ht="15">
      <c r="D1332" s="216"/>
    </row>
    <row r="1333" ht="15">
      <c r="D1333" s="216"/>
    </row>
    <row r="1334" ht="15">
      <c r="D1334" s="216"/>
    </row>
    <row r="1335" ht="15">
      <c r="D1335" s="216"/>
    </row>
    <row r="1336" ht="15">
      <c r="D1336" s="216"/>
    </row>
    <row r="1337" ht="15">
      <c r="D1337" s="216"/>
    </row>
    <row r="1338" ht="15">
      <c r="D1338" s="216"/>
    </row>
    <row r="1339" ht="15">
      <c r="D1339" s="216"/>
    </row>
    <row r="1340" ht="15">
      <c r="D1340" s="216"/>
    </row>
    <row r="1341" ht="15">
      <c r="D1341" s="216"/>
    </row>
    <row r="1342" ht="15">
      <c r="D1342" s="216"/>
    </row>
    <row r="1343" ht="15">
      <c r="D1343" s="216"/>
    </row>
    <row r="1344" ht="15">
      <c r="D1344" s="216"/>
    </row>
    <row r="1345" ht="15">
      <c r="D1345" s="216"/>
    </row>
    <row r="1346" ht="15">
      <c r="D1346" s="216"/>
    </row>
    <row r="1347" ht="15">
      <c r="D1347" s="216"/>
    </row>
    <row r="1348" ht="15">
      <c r="D1348" s="216"/>
    </row>
    <row r="1349" ht="15">
      <c r="D1349" s="216"/>
    </row>
    <row r="1350" ht="15">
      <c r="D1350" s="216"/>
    </row>
    <row r="1351" ht="15">
      <c r="D1351" s="216"/>
    </row>
    <row r="1352" ht="15">
      <c r="D1352" s="216"/>
    </row>
    <row r="1353" ht="15">
      <c r="D1353" s="216"/>
    </row>
    <row r="1354" ht="15">
      <c r="D1354" s="216"/>
    </row>
    <row r="1355" ht="15">
      <c r="D1355" s="216"/>
    </row>
    <row r="1356" ht="15">
      <c r="D1356" s="216"/>
    </row>
    <row r="1357" ht="15">
      <c r="D1357" s="216"/>
    </row>
    <row r="1358" ht="15">
      <c r="D1358" s="216"/>
    </row>
    <row r="1359" ht="15">
      <c r="D1359" s="216"/>
    </row>
    <row r="1360" ht="15">
      <c r="D1360" s="216"/>
    </row>
    <row r="1361" ht="15">
      <c r="D1361" s="216"/>
    </row>
    <row r="1362" ht="15">
      <c r="D1362" s="216"/>
    </row>
    <row r="1363" ht="15">
      <c r="D1363" s="216"/>
    </row>
    <row r="1364" ht="15">
      <c r="D1364" s="216"/>
    </row>
    <row r="1365" ht="15">
      <c r="D1365" s="216"/>
    </row>
    <row r="1366" ht="15">
      <c r="D1366" s="216"/>
    </row>
    <row r="1367" ht="15">
      <c r="D1367" s="216"/>
    </row>
    <row r="1368" ht="15">
      <c r="D1368" s="216"/>
    </row>
    <row r="1369" ht="15">
      <c r="D1369" s="216"/>
    </row>
    <row r="1370" ht="15">
      <c r="D1370" s="216"/>
    </row>
    <row r="1371" ht="15">
      <c r="D1371" s="216"/>
    </row>
    <row r="1372" ht="15">
      <c r="D1372" s="216"/>
    </row>
    <row r="1373" ht="15">
      <c r="D1373" s="216"/>
    </row>
    <row r="1374" ht="15">
      <c r="D1374" s="216"/>
    </row>
    <row r="1375" ht="15">
      <c r="D1375" s="216"/>
    </row>
    <row r="1376" ht="15">
      <c r="D1376" s="216"/>
    </row>
    <row r="1377" ht="15">
      <c r="D1377" s="216"/>
    </row>
    <row r="1378" ht="15">
      <c r="D1378" s="216"/>
    </row>
    <row r="1379" ht="15">
      <c r="D1379" s="216"/>
    </row>
    <row r="1380" ht="15">
      <c r="D1380" s="216"/>
    </row>
    <row r="1381" ht="15">
      <c r="D1381" s="216"/>
    </row>
    <row r="1382" ht="15">
      <c r="D1382" s="216"/>
    </row>
    <row r="1383" ht="15">
      <c r="D1383" s="216"/>
    </row>
    <row r="1384" ht="15">
      <c r="D1384" s="216"/>
    </row>
    <row r="1385" ht="15">
      <c r="D1385" s="216"/>
    </row>
    <row r="1386" ht="15">
      <c r="D1386" s="216"/>
    </row>
    <row r="1387" ht="15">
      <c r="D1387" s="216"/>
    </row>
    <row r="1388" ht="15">
      <c r="D1388" s="216"/>
    </row>
    <row r="1389" ht="15">
      <c r="D1389" s="216"/>
    </row>
    <row r="1390" ht="15">
      <c r="D1390" s="216"/>
    </row>
    <row r="1391" ht="15">
      <c r="D1391" s="216"/>
    </row>
    <row r="1392" ht="15">
      <c r="D1392" s="216"/>
    </row>
    <row r="1393" ht="15">
      <c r="D1393" s="216"/>
    </row>
    <row r="1394" ht="15">
      <c r="D1394" s="216"/>
    </row>
    <row r="1395" ht="15">
      <c r="D1395" s="216"/>
    </row>
    <row r="1396" ht="15">
      <c r="D1396" s="216"/>
    </row>
    <row r="1397" ht="15">
      <c r="D1397" s="216"/>
    </row>
    <row r="1398" ht="15">
      <c r="D1398" s="216"/>
    </row>
    <row r="1399" ht="15">
      <c r="D1399" s="216"/>
    </row>
    <row r="1400" ht="15">
      <c r="D1400" s="216"/>
    </row>
    <row r="1401" ht="15">
      <c r="D1401" s="216"/>
    </row>
    <row r="1402" ht="15">
      <c r="D1402" s="216"/>
    </row>
    <row r="1403" ht="15">
      <c r="D1403" s="216"/>
    </row>
    <row r="1404" ht="15">
      <c r="D1404" s="216"/>
    </row>
    <row r="1405" ht="15">
      <c r="D1405" s="216"/>
    </row>
    <row r="1406" ht="15">
      <c r="D1406" s="216"/>
    </row>
    <row r="1407" ht="15">
      <c r="D1407" s="216"/>
    </row>
    <row r="1408" ht="15">
      <c r="D1408" s="216"/>
    </row>
    <row r="1409" ht="15">
      <c r="D1409" s="216"/>
    </row>
    <row r="1410" ht="15">
      <c r="D1410" s="216"/>
    </row>
    <row r="1411" ht="15">
      <c r="D1411" s="216"/>
    </row>
    <row r="1412" ht="15">
      <c r="D1412" s="216"/>
    </row>
    <row r="1413" ht="15">
      <c r="D1413" s="216"/>
    </row>
    <row r="1414" ht="15">
      <c r="D1414" s="216"/>
    </row>
    <row r="1415" ht="15">
      <c r="D1415" s="216"/>
    </row>
    <row r="1416" ht="15">
      <c r="D1416" s="216"/>
    </row>
    <row r="1417" ht="15">
      <c r="D1417" s="216"/>
    </row>
    <row r="1418" ht="15">
      <c r="D1418" s="216"/>
    </row>
    <row r="1419" ht="15">
      <c r="D1419" s="216"/>
    </row>
    <row r="1420" ht="15">
      <c r="D1420" s="216"/>
    </row>
    <row r="1421" ht="15">
      <c r="D1421" s="216"/>
    </row>
    <row r="1422" ht="15">
      <c r="D1422" s="216"/>
    </row>
    <row r="1423" ht="15">
      <c r="D1423" s="216"/>
    </row>
    <row r="1424" ht="15">
      <c r="D1424" s="216"/>
    </row>
    <row r="1425" ht="15">
      <c r="D1425" s="216"/>
    </row>
    <row r="1426" ht="15">
      <c r="D1426" s="216"/>
    </row>
    <row r="1427" ht="15">
      <c r="D1427" s="216"/>
    </row>
    <row r="1428" ht="15">
      <c r="D1428" s="216"/>
    </row>
    <row r="1429" ht="15">
      <c r="D1429" s="216"/>
    </row>
    <row r="1430" ht="15">
      <c r="D1430" s="216"/>
    </row>
    <row r="1431" ht="15">
      <c r="D1431" s="216"/>
    </row>
    <row r="1432" ht="15">
      <c r="D1432" s="216"/>
    </row>
    <row r="1433" ht="15">
      <c r="D1433" s="216"/>
    </row>
    <row r="1434" ht="15">
      <c r="D1434" s="216"/>
    </row>
    <row r="1435" ht="15">
      <c r="D1435" s="216"/>
    </row>
    <row r="1436" ht="15">
      <c r="D1436" s="216"/>
    </row>
    <row r="1437" ht="15">
      <c r="D1437" s="216"/>
    </row>
    <row r="1438" ht="15">
      <c r="D1438" s="216"/>
    </row>
    <row r="1439" ht="15">
      <c r="D1439" s="216"/>
    </row>
    <row r="1440" ht="15">
      <c r="D1440" s="216"/>
    </row>
    <row r="1441" ht="15">
      <c r="D1441" s="216"/>
    </row>
    <row r="1442" ht="15">
      <c r="D1442" s="216"/>
    </row>
    <row r="1443" ht="15">
      <c r="D1443" s="216"/>
    </row>
    <row r="1444" ht="15">
      <c r="D1444" s="216"/>
    </row>
    <row r="1445" ht="15">
      <c r="D1445" s="216"/>
    </row>
    <row r="1446" ht="15">
      <c r="D1446" s="216"/>
    </row>
    <row r="1447" ht="15">
      <c r="D1447" s="216"/>
    </row>
    <row r="1448" ht="15">
      <c r="D1448" s="216"/>
    </row>
    <row r="1449" ht="15">
      <c r="D1449" s="216"/>
    </row>
    <row r="1450" ht="15">
      <c r="D1450" s="216"/>
    </row>
    <row r="1451" ht="15">
      <c r="D1451" s="216"/>
    </row>
    <row r="1452" ht="15">
      <c r="D1452" s="216"/>
    </row>
    <row r="1453" ht="15">
      <c r="D1453" s="216"/>
    </row>
    <row r="1454" ht="15">
      <c r="D1454" s="216"/>
    </row>
    <row r="1455" ht="15">
      <c r="D1455" s="216"/>
    </row>
    <row r="1456" ht="15">
      <c r="D1456" s="216"/>
    </row>
    <row r="1457" ht="15">
      <c r="D1457" s="216"/>
    </row>
    <row r="1458" ht="15">
      <c r="D1458" s="216"/>
    </row>
    <row r="1459" ht="15">
      <c r="D1459" s="216"/>
    </row>
    <row r="1460" ht="15">
      <c r="D1460" s="216"/>
    </row>
    <row r="1461" ht="15">
      <c r="D1461" s="216"/>
    </row>
    <row r="1462" ht="15">
      <c r="D1462" s="216"/>
    </row>
    <row r="1463" ht="15">
      <c r="D1463" s="216"/>
    </row>
    <row r="1464" ht="15">
      <c r="D1464" s="216"/>
    </row>
    <row r="1465" ht="15">
      <c r="D1465" s="216"/>
    </row>
    <row r="1466" ht="15">
      <c r="D1466" s="216"/>
    </row>
    <row r="1467" ht="15">
      <c r="D1467" s="216"/>
    </row>
    <row r="1468" ht="15">
      <c r="D1468" s="216"/>
    </row>
    <row r="1469" ht="15">
      <c r="D1469" s="216"/>
    </row>
    <row r="1470" ht="15">
      <c r="D1470" s="216"/>
    </row>
    <row r="1471" ht="15">
      <c r="D1471" s="216"/>
    </row>
    <row r="1472" ht="15">
      <c r="D1472" s="216"/>
    </row>
    <row r="1473" ht="15">
      <c r="D1473" s="216"/>
    </row>
    <row r="1474" ht="15">
      <c r="D1474" s="216"/>
    </row>
    <row r="1475" ht="15">
      <c r="D1475" s="216"/>
    </row>
    <row r="1476" ht="15">
      <c r="D1476" s="216"/>
    </row>
    <row r="1477" ht="15">
      <c r="D1477" s="216"/>
    </row>
    <row r="1478" ht="15">
      <c r="D1478" s="216"/>
    </row>
    <row r="1479" ht="15">
      <c r="D1479" s="216"/>
    </row>
    <row r="1480" ht="15">
      <c r="D1480" s="216"/>
    </row>
    <row r="1481" ht="15">
      <c r="D1481" s="216"/>
    </row>
    <row r="1482" ht="15">
      <c r="D1482" s="216"/>
    </row>
    <row r="1483" ht="15">
      <c r="D1483" s="216"/>
    </row>
    <row r="1484" ht="15">
      <c r="D1484" s="216"/>
    </row>
    <row r="1485" ht="15">
      <c r="D1485" s="216"/>
    </row>
    <row r="1486" ht="15">
      <c r="D1486" s="216"/>
    </row>
    <row r="1487" ht="15">
      <c r="D1487" s="216"/>
    </row>
    <row r="1488" ht="15">
      <c r="D1488" s="216"/>
    </row>
    <row r="1489" ht="15">
      <c r="D1489" s="216"/>
    </row>
    <row r="1490" ht="15">
      <c r="D1490" s="216"/>
    </row>
    <row r="1491" ht="15">
      <c r="D1491" s="216"/>
    </row>
    <row r="1492" ht="15">
      <c r="D1492" s="216"/>
    </row>
    <row r="1493" ht="15">
      <c r="D1493" s="216"/>
    </row>
    <row r="1494" ht="15">
      <c r="D1494" s="216"/>
    </row>
    <row r="1495" ht="15">
      <c r="D1495" s="216"/>
    </row>
    <row r="1496" ht="15">
      <c r="D1496" s="216"/>
    </row>
    <row r="1497" ht="15">
      <c r="D1497" s="216"/>
    </row>
    <row r="1498" ht="15">
      <c r="D1498" s="216"/>
    </row>
    <row r="1499" ht="15">
      <c r="D1499" s="216"/>
    </row>
    <row r="1500" ht="15">
      <c r="D1500" s="216"/>
    </row>
    <row r="1501" ht="15">
      <c r="D1501" s="216"/>
    </row>
    <row r="1502" ht="15">
      <c r="D1502" s="216"/>
    </row>
    <row r="1503" ht="15">
      <c r="D1503" s="216"/>
    </row>
    <row r="1504" ht="15">
      <c r="D1504" s="216"/>
    </row>
    <row r="1505" ht="15">
      <c r="D1505" s="216"/>
    </row>
    <row r="1506" ht="15">
      <c r="D1506" s="216"/>
    </row>
    <row r="1507" ht="15">
      <c r="D1507" s="216"/>
    </row>
    <row r="1508" ht="15">
      <c r="D1508" s="216"/>
    </row>
    <row r="1509" ht="15">
      <c r="D1509" s="216"/>
    </row>
    <row r="1510" ht="15">
      <c r="D1510" s="216"/>
    </row>
    <row r="1511" ht="15">
      <c r="D1511" s="216"/>
    </row>
    <row r="1512" ht="15">
      <c r="D1512" s="216"/>
    </row>
    <row r="1513" ht="15">
      <c r="D1513" s="216"/>
    </row>
    <row r="1514" ht="15">
      <c r="D1514" s="216"/>
    </row>
    <row r="1515" ht="15">
      <c r="D1515" s="216"/>
    </row>
    <row r="1516" ht="15">
      <c r="D1516" s="216"/>
    </row>
    <row r="1517" ht="15">
      <c r="D1517" s="216"/>
    </row>
    <row r="1518" ht="15">
      <c r="D1518" s="216"/>
    </row>
    <row r="1519" ht="15">
      <c r="D1519" s="216"/>
    </row>
    <row r="1520" ht="15">
      <c r="D1520" s="216"/>
    </row>
    <row r="1521" ht="15">
      <c r="D1521" s="216"/>
    </row>
    <row r="1522" ht="15">
      <c r="D1522" s="216"/>
    </row>
    <row r="1523" ht="15">
      <c r="D1523" s="216"/>
    </row>
    <row r="1524" ht="15">
      <c r="D1524" s="216"/>
    </row>
    <row r="1525" ht="15">
      <c r="D1525" s="216"/>
    </row>
    <row r="1526" ht="15">
      <c r="D1526" s="216"/>
    </row>
    <row r="1527" ht="15">
      <c r="D1527" s="216"/>
    </row>
    <row r="1528" ht="15">
      <c r="D1528" s="216"/>
    </row>
    <row r="1529" ht="15">
      <c r="D1529" s="216"/>
    </row>
    <row r="1530" ht="15">
      <c r="D1530" s="216"/>
    </row>
    <row r="1531" ht="15">
      <c r="D1531" s="216"/>
    </row>
    <row r="1532" ht="15">
      <c r="D1532" s="216"/>
    </row>
    <row r="1533" ht="15">
      <c r="D1533" s="216"/>
    </row>
    <row r="1534" ht="15">
      <c r="D1534" s="216"/>
    </row>
    <row r="1535" ht="15">
      <c r="D1535" s="216"/>
    </row>
    <row r="1536" ht="15">
      <c r="D1536" s="216"/>
    </row>
    <row r="1537" ht="15">
      <c r="D1537" s="216"/>
    </row>
    <row r="1538" ht="15">
      <c r="D1538" s="216"/>
    </row>
    <row r="1539" ht="15">
      <c r="D1539" s="216"/>
    </row>
    <row r="1540" ht="15">
      <c r="D1540" s="216"/>
    </row>
    <row r="1541" ht="15">
      <c r="D1541" s="216"/>
    </row>
    <row r="1542" ht="15">
      <c r="D1542" s="216"/>
    </row>
    <row r="1543" ht="15">
      <c r="D1543" s="216"/>
    </row>
    <row r="1544" ht="15">
      <c r="D1544" s="216"/>
    </row>
    <row r="1545" ht="15">
      <c r="D1545" s="216"/>
    </row>
    <row r="1546" ht="15">
      <c r="D1546" s="216"/>
    </row>
    <row r="1547" ht="15">
      <c r="D1547" s="216"/>
    </row>
    <row r="1548" ht="15">
      <c r="D1548" s="216"/>
    </row>
    <row r="1549" ht="15">
      <c r="D1549" s="216"/>
    </row>
    <row r="1550" ht="15">
      <c r="D1550" s="216"/>
    </row>
    <row r="1551" ht="15">
      <c r="D1551" s="216"/>
    </row>
    <row r="1552" ht="15">
      <c r="D1552" s="216"/>
    </row>
    <row r="1553" ht="15">
      <c r="D1553" s="216"/>
    </row>
    <row r="1554" ht="15">
      <c r="D1554" s="216"/>
    </row>
    <row r="1555" ht="15">
      <c r="D1555" s="216"/>
    </row>
    <row r="1556" ht="15">
      <c r="D1556" s="216"/>
    </row>
    <row r="1557" ht="15">
      <c r="D1557" s="216"/>
    </row>
    <row r="1558" ht="15">
      <c r="D1558" s="216"/>
    </row>
    <row r="1559" ht="15">
      <c r="D1559" s="216"/>
    </row>
    <row r="1560" ht="15">
      <c r="D1560" s="216"/>
    </row>
    <row r="1561" ht="15">
      <c r="D1561" s="216"/>
    </row>
    <row r="1562" ht="15">
      <c r="D1562" s="216"/>
    </row>
    <row r="1563" ht="15">
      <c r="D1563" s="216"/>
    </row>
    <row r="1564" ht="15">
      <c r="D1564" s="216"/>
    </row>
    <row r="1565" ht="15">
      <c r="D1565" s="216"/>
    </row>
    <row r="1566" ht="15">
      <c r="D1566" s="216"/>
    </row>
    <row r="1567" ht="15">
      <c r="D1567" s="216"/>
    </row>
    <row r="1568" ht="15">
      <c r="D1568" s="216"/>
    </row>
    <row r="1569" ht="15">
      <c r="D1569" s="216"/>
    </row>
    <row r="1570" ht="15">
      <c r="D1570" s="216"/>
    </row>
    <row r="1571" ht="15">
      <c r="D1571" s="216"/>
    </row>
    <row r="1572" ht="15">
      <c r="D1572" s="216"/>
    </row>
    <row r="1573" ht="15">
      <c r="D1573" s="216"/>
    </row>
    <row r="1574" ht="15">
      <c r="D1574" s="216"/>
    </row>
    <row r="1575" ht="15">
      <c r="D1575" s="216"/>
    </row>
    <row r="1576" ht="15">
      <c r="D1576" s="216"/>
    </row>
    <row r="1577" ht="15">
      <c r="D1577" s="216"/>
    </row>
    <row r="1578" ht="15">
      <c r="D1578" s="216"/>
    </row>
    <row r="1579" ht="15">
      <c r="D1579" s="216"/>
    </row>
    <row r="1580" ht="15">
      <c r="D1580" s="216"/>
    </row>
    <row r="1581" ht="15">
      <c r="D1581" s="216"/>
    </row>
    <row r="1582" ht="15">
      <c r="D1582" s="216"/>
    </row>
    <row r="1583" ht="15">
      <c r="D1583" s="216"/>
    </row>
    <row r="1584" ht="15">
      <c r="D1584" s="216"/>
    </row>
    <row r="1585" ht="15">
      <c r="D1585" s="216"/>
    </row>
    <row r="1586" ht="15">
      <c r="D1586" s="216"/>
    </row>
    <row r="1587" ht="15">
      <c r="D1587" s="216"/>
    </row>
    <row r="1588" ht="15">
      <c r="D1588" s="216"/>
    </row>
    <row r="1589" ht="15">
      <c r="D1589" s="216"/>
    </row>
    <row r="1590" ht="15">
      <c r="D1590" s="216"/>
    </row>
    <row r="1591" ht="15">
      <c r="D1591" s="216"/>
    </row>
    <row r="1592" ht="15">
      <c r="D1592" s="216"/>
    </row>
    <row r="1593" ht="15">
      <c r="D1593" s="216"/>
    </row>
    <row r="1594" ht="15">
      <c r="D1594" s="216"/>
    </row>
    <row r="1595" ht="15">
      <c r="D1595" s="216"/>
    </row>
    <row r="1596" ht="15">
      <c r="D1596" s="216"/>
    </row>
    <row r="1597" ht="15">
      <c r="D1597" s="216"/>
    </row>
    <row r="1598" ht="15">
      <c r="D1598" s="216"/>
    </row>
    <row r="1599" ht="15">
      <c r="D1599" s="216"/>
    </row>
    <row r="1600" ht="15">
      <c r="D1600" s="216"/>
    </row>
    <row r="1601" ht="15">
      <c r="D1601" s="216"/>
    </row>
    <row r="1602" ht="15">
      <c r="D1602" s="216"/>
    </row>
    <row r="1603" ht="15">
      <c r="D1603" s="216"/>
    </row>
    <row r="1604" ht="15">
      <c r="D1604" s="216"/>
    </row>
    <row r="1605" ht="15">
      <c r="D1605" s="216"/>
    </row>
    <row r="1606" ht="15">
      <c r="D1606" s="216"/>
    </row>
    <row r="1607" ht="15">
      <c r="D1607" s="216"/>
    </row>
    <row r="1608" ht="15">
      <c r="D1608" s="216"/>
    </row>
    <row r="1609" ht="15">
      <c r="D1609" s="216"/>
    </row>
    <row r="1610" ht="15">
      <c r="D1610" s="216"/>
    </row>
    <row r="1611" ht="15">
      <c r="D1611" s="216"/>
    </row>
    <row r="1612" ht="15">
      <c r="D1612" s="216"/>
    </row>
    <row r="1613" ht="15">
      <c r="D1613" s="216"/>
    </row>
    <row r="1614" ht="15">
      <c r="D1614" s="216"/>
    </row>
    <row r="1615" ht="15">
      <c r="D1615" s="216"/>
    </row>
    <row r="1616" ht="15">
      <c r="D1616" s="216"/>
    </row>
    <row r="1617" ht="15">
      <c r="D1617" s="216"/>
    </row>
    <row r="1618" ht="15">
      <c r="D1618" s="216"/>
    </row>
    <row r="1619" ht="15">
      <c r="D1619" s="216"/>
    </row>
    <row r="1620" ht="15">
      <c r="D1620" s="216"/>
    </row>
    <row r="1621" ht="15">
      <c r="D1621" s="216"/>
    </row>
    <row r="1622" ht="15">
      <c r="D1622" s="216"/>
    </row>
    <row r="1623" ht="15">
      <c r="D1623" s="216"/>
    </row>
    <row r="1624" ht="15">
      <c r="D1624" s="216"/>
    </row>
    <row r="1625" ht="15">
      <c r="D1625" s="216"/>
    </row>
    <row r="1626" ht="15">
      <c r="D1626" s="216"/>
    </row>
    <row r="1627" ht="15">
      <c r="D1627" s="216"/>
    </row>
    <row r="1628" ht="15">
      <c r="D1628" s="216"/>
    </row>
    <row r="1629" ht="15">
      <c r="D1629" s="216"/>
    </row>
    <row r="1630" ht="15">
      <c r="D1630" s="216"/>
    </row>
    <row r="1631" ht="15">
      <c r="D1631" s="216"/>
    </row>
    <row r="1632" ht="15">
      <c r="D1632" s="216"/>
    </row>
    <row r="1633" ht="15">
      <c r="D1633" s="216"/>
    </row>
    <row r="1634" ht="15">
      <c r="D1634" s="216"/>
    </row>
    <row r="1635" ht="15">
      <c r="D1635" s="216"/>
    </row>
    <row r="1636" ht="15">
      <c r="D1636" s="216"/>
    </row>
    <row r="1637" ht="15">
      <c r="D1637" s="216"/>
    </row>
    <row r="1638" ht="15">
      <c r="D1638" s="216"/>
    </row>
    <row r="1639" ht="15">
      <c r="D1639" s="216"/>
    </row>
    <row r="1640" ht="15">
      <c r="D1640" s="216"/>
    </row>
    <row r="1641" ht="15">
      <c r="D1641" s="216"/>
    </row>
    <row r="1642" ht="15">
      <c r="D1642" s="216"/>
    </row>
    <row r="1643" ht="15">
      <c r="D1643" s="216"/>
    </row>
    <row r="1644" ht="15">
      <c r="D1644" s="216"/>
    </row>
    <row r="1645" ht="15">
      <c r="D1645" s="216"/>
    </row>
    <row r="1646" ht="15">
      <c r="D1646" s="216"/>
    </row>
    <row r="1647" ht="15">
      <c r="D1647" s="216"/>
    </row>
    <row r="1648" ht="15">
      <c r="D1648" s="216"/>
    </row>
    <row r="1649" ht="15">
      <c r="D1649" s="216"/>
    </row>
    <row r="1650" ht="15">
      <c r="D1650" s="216"/>
    </row>
    <row r="1651" ht="15">
      <c r="D1651" s="216"/>
    </row>
    <row r="1652" ht="15">
      <c r="D1652" s="216"/>
    </row>
    <row r="1653" ht="15">
      <c r="D1653" s="216"/>
    </row>
    <row r="1654" ht="15">
      <c r="D1654" s="216"/>
    </row>
    <row r="1655" ht="15">
      <c r="D1655" s="216"/>
    </row>
    <row r="1656" ht="15">
      <c r="D1656" s="216"/>
    </row>
    <row r="1657" ht="15">
      <c r="D1657" s="216"/>
    </row>
    <row r="1658" ht="15">
      <c r="D1658" s="216"/>
    </row>
    <row r="1659" ht="15">
      <c r="D1659" s="216"/>
    </row>
    <row r="1660" ht="15">
      <c r="D1660" s="216"/>
    </row>
    <row r="1661" ht="15">
      <c r="D1661" s="216"/>
    </row>
    <row r="1662" ht="15">
      <c r="D1662" s="216"/>
    </row>
    <row r="1663" ht="15">
      <c r="D1663" s="216"/>
    </row>
    <row r="1664" ht="15">
      <c r="D1664" s="216"/>
    </row>
    <row r="1665" ht="15">
      <c r="D1665" s="216"/>
    </row>
    <row r="1666" ht="15">
      <c r="D1666" s="216"/>
    </row>
    <row r="1667" ht="15">
      <c r="D1667" s="216"/>
    </row>
    <row r="1668" ht="15">
      <c r="D1668" s="216"/>
    </row>
    <row r="1669" ht="15">
      <c r="D1669" s="216"/>
    </row>
    <row r="1670" ht="15">
      <c r="D1670" s="216"/>
    </row>
    <row r="1671" ht="15">
      <c r="D1671" s="216"/>
    </row>
    <row r="1672" ht="15">
      <c r="D1672" s="216"/>
    </row>
    <row r="1673" ht="15">
      <c r="D1673" s="216"/>
    </row>
    <row r="1674" ht="15">
      <c r="D1674" s="216"/>
    </row>
    <row r="1675" ht="15">
      <c r="D1675" s="216"/>
    </row>
    <row r="1676" ht="15">
      <c r="D1676" s="216"/>
    </row>
    <row r="1677" ht="15">
      <c r="D1677" s="216"/>
    </row>
    <row r="1678" ht="15">
      <c r="D1678" s="216"/>
    </row>
    <row r="1679" ht="15">
      <c r="D1679" s="216"/>
    </row>
    <row r="1680" ht="15">
      <c r="D1680" s="216"/>
    </row>
    <row r="1681" ht="15">
      <c r="D1681" s="216"/>
    </row>
    <row r="1682" ht="15">
      <c r="D1682" s="216"/>
    </row>
    <row r="1683" ht="15">
      <c r="D1683" s="216"/>
    </row>
    <row r="1684" ht="15">
      <c r="D1684" s="216"/>
    </row>
    <row r="1685" ht="15">
      <c r="D1685" s="216"/>
    </row>
    <row r="1686" ht="15">
      <c r="D1686" s="216"/>
    </row>
    <row r="1687" ht="15">
      <c r="D1687" s="216"/>
    </row>
    <row r="1688" ht="15">
      <c r="D1688" s="216"/>
    </row>
    <row r="1689" ht="15">
      <c r="D1689" s="216"/>
    </row>
    <row r="1690" ht="15">
      <c r="D1690" s="216"/>
    </row>
    <row r="1691" ht="15">
      <c r="D1691" s="216"/>
    </row>
    <row r="1692" ht="15">
      <c r="D1692" s="216"/>
    </row>
    <row r="1693" ht="15">
      <c r="D1693" s="216"/>
    </row>
    <row r="1694" ht="15">
      <c r="D1694" s="216"/>
    </row>
    <row r="1695" ht="15">
      <c r="D1695" s="216"/>
    </row>
    <row r="1696" ht="15">
      <c r="D1696" s="216"/>
    </row>
    <row r="1697" ht="15">
      <c r="D1697" s="216"/>
    </row>
    <row r="1698" ht="15">
      <c r="D1698" s="216"/>
    </row>
    <row r="1699" ht="15">
      <c r="D1699" s="216"/>
    </row>
    <row r="1700" ht="15">
      <c r="D1700" s="216"/>
    </row>
    <row r="1701" ht="15">
      <c r="D1701" s="216"/>
    </row>
    <row r="1702" ht="15">
      <c r="D1702" s="216"/>
    </row>
    <row r="1703" ht="15">
      <c r="D1703" s="216"/>
    </row>
    <row r="1704" ht="15">
      <c r="D1704" s="216"/>
    </row>
    <row r="1705" ht="15">
      <c r="D1705" s="216"/>
    </row>
    <row r="1706" ht="15">
      <c r="D1706" s="216"/>
    </row>
    <row r="1707" ht="15">
      <c r="D1707" s="216"/>
    </row>
    <row r="1708" ht="15">
      <c r="D1708" s="216"/>
    </row>
    <row r="1709" ht="15">
      <c r="D1709" s="216"/>
    </row>
    <row r="1710" ht="15">
      <c r="D1710" s="216"/>
    </row>
    <row r="1711" ht="15">
      <c r="D1711" s="216"/>
    </row>
    <row r="1712" ht="15">
      <c r="D1712" s="216"/>
    </row>
    <row r="1713" ht="15">
      <c r="D1713" s="216"/>
    </row>
    <row r="1714" ht="15">
      <c r="D1714" s="216"/>
    </row>
    <row r="1715" ht="15">
      <c r="D1715" s="216"/>
    </row>
    <row r="1716" ht="15">
      <c r="D1716" s="216"/>
    </row>
    <row r="1717" ht="15">
      <c r="D1717" s="216"/>
    </row>
    <row r="1718" ht="15">
      <c r="D1718" s="216"/>
    </row>
    <row r="1719" ht="15">
      <c r="D1719" s="216"/>
    </row>
    <row r="1720" ht="15">
      <c r="D1720" s="216"/>
    </row>
    <row r="1721" ht="15">
      <c r="D1721" s="216"/>
    </row>
    <row r="1722" ht="15">
      <c r="D1722" s="216"/>
    </row>
    <row r="1723" ht="15">
      <c r="D1723" s="216"/>
    </row>
    <row r="1724" ht="15">
      <c r="D1724" s="216"/>
    </row>
    <row r="1725" ht="15">
      <c r="D1725" s="216"/>
    </row>
    <row r="1726" ht="15">
      <c r="D1726" s="216"/>
    </row>
    <row r="1727" ht="15">
      <c r="D1727" s="216"/>
    </row>
    <row r="1728" ht="15">
      <c r="D1728" s="216"/>
    </row>
    <row r="1729" ht="15">
      <c r="D1729" s="216"/>
    </row>
    <row r="1730" ht="15">
      <c r="D1730" s="216"/>
    </row>
    <row r="1731" ht="15">
      <c r="D1731" s="216"/>
    </row>
    <row r="1732" ht="15">
      <c r="D1732" s="216"/>
    </row>
    <row r="1733" ht="15">
      <c r="D1733" s="216"/>
    </row>
    <row r="1734" ht="15">
      <c r="D1734" s="216"/>
    </row>
    <row r="1735" ht="15">
      <c r="D1735" s="216"/>
    </row>
    <row r="1736" ht="15">
      <c r="D1736" s="216"/>
    </row>
    <row r="1737" ht="15">
      <c r="D1737" s="216"/>
    </row>
    <row r="1738" ht="15">
      <c r="D1738" s="216"/>
    </row>
    <row r="1739" ht="15">
      <c r="D1739" s="216"/>
    </row>
    <row r="1740" ht="15">
      <c r="D1740" s="216"/>
    </row>
    <row r="1741" ht="15">
      <c r="D1741" s="216"/>
    </row>
    <row r="1742" ht="15">
      <c r="D1742" s="216"/>
    </row>
    <row r="1743" ht="15">
      <c r="D1743" s="216"/>
    </row>
    <row r="1744" ht="15">
      <c r="D1744" s="216"/>
    </row>
    <row r="1745" ht="15">
      <c r="D1745" s="216"/>
    </row>
    <row r="1746" ht="15">
      <c r="D1746" s="216"/>
    </row>
    <row r="1747" ht="15">
      <c r="D1747" s="216"/>
    </row>
    <row r="1748" ht="15">
      <c r="D1748" s="216"/>
    </row>
    <row r="1749" ht="15">
      <c r="D1749" s="216"/>
    </row>
    <row r="1750" ht="15">
      <c r="D1750" s="216"/>
    </row>
    <row r="1751" ht="15">
      <c r="D1751" s="216"/>
    </row>
    <row r="1752" ht="15">
      <c r="D1752" s="216"/>
    </row>
    <row r="1753" ht="15">
      <c r="D1753" s="216"/>
    </row>
    <row r="1754" ht="15">
      <c r="D1754" s="216"/>
    </row>
    <row r="1755" ht="15">
      <c r="D1755" s="216"/>
    </row>
    <row r="1756" ht="15">
      <c r="D1756" s="216"/>
    </row>
    <row r="1757" ht="15">
      <c r="D1757" s="216"/>
    </row>
    <row r="1758" ht="15">
      <c r="D1758" s="216"/>
    </row>
    <row r="1759" ht="15">
      <c r="D1759" s="216"/>
    </row>
    <row r="1760" ht="15">
      <c r="D1760" s="216"/>
    </row>
    <row r="1761" ht="15">
      <c r="D1761" s="216"/>
    </row>
    <row r="1762" ht="15">
      <c r="D1762" s="216"/>
    </row>
    <row r="1763" ht="15">
      <c r="D1763" s="216"/>
    </row>
    <row r="1764" ht="15">
      <c r="D1764" s="216"/>
    </row>
    <row r="1765" ht="15">
      <c r="D1765" s="216"/>
    </row>
    <row r="1766" ht="15">
      <c r="D1766" s="216"/>
    </row>
    <row r="1767" ht="15">
      <c r="D1767" s="216"/>
    </row>
    <row r="1768" ht="15">
      <c r="D1768" s="216"/>
    </row>
    <row r="1769" ht="15">
      <c r="D1769" s="216"/>
    </row>
    <row r="1770" ht="15">
      <c r="D1770" s="216"/>
    </row>
    <row r="1771" ht="15">
      <c r="D1771" s="216"/>
    </row>
    <row r="1772" ht="15">
      <c r="D1772" s="216"/>
    </row>
    <row r="1773" ht="15">
      <c r="D1773" s="216"/>
    </row>
    <row r="1774" ht="15">
      <c r="D1774" s="216"/>
    </row>
    <row r="1775" ht="15">
      <c r="D1775" s="216"/>
    </row>
    <row r="1776" ht="15">
      <c r="D1776" s="216"/>
    </row>
    <row r="1777" ht="15">
      <c r="D1777" s="216"/>
    </row>
    <row r="1778" ht="15">
      <c r="D1778" s="216"/>
    </row>
    <row r="1779" ht="15">
      <c r="D1779" s="216"/>
    </row>
    <row r="1780" ht="15">
      <c r="D1780" s="216"/>
    </row>
    <row r="1781" ht="15">
      <c r="D1781" s="216"/>
    </row>
    <row r="1782" ht="15">
      <c r="D1782" s="216"/>
    </row>
    <row r="1783" ht="15">
      <c r="D1783" s="216"/>
    </row>
    <row r="1784" ht="15">
      <c r="D1784" s="216"/>
    </row>
    <row r="1785" ht="15">
      <c r="D1785" s="216"/>
    </row>
    <row r="1786" ht="15">
      <c r="D1786" s="216"/>
    </row>
    <row r="1787" ht="15">
      <c r="D1787" s="216"/>
    </row>
    <row r="1788" ht="15">
      <c r="D1788" s="216"/>
    </row>
    <row r="1789" ht="15">
      <c r="D1789" s="216"/>
    </row>
    <row r="1790" ht="15">
      <c r="D1790" s="216"/>
    </row>
    <row r="1791" ht="15">
      <c r="D1791" s="216"/>
    </row>
    <row r="1792" ht="15">
      <c r="D1792" s="216"/>
    </row>
    <row r="1793" ht="15">
      <c r="D1793" s="216"/>
    </row>
    <row r="1794" ht="15">
      <c r="D1794" s="216"/>
    </row>
    <row r="1795" ht="15">
      <c r="D1795" s="216"/>
    </row>
    <row r="1796" ht="15">
      <c r="D1796" s="216"/>
    </row>
    <row r="1797" ht="15">
      <c r="D1797" s="216"/>
    </row>
    <row r="1798" ht="15">
      <c r="D1798" s="216"/>
    </row>
    <row r="1799" ht="15">
      <c r="D1799" s="216"/>
    </row>
    <row r="1800" ht="15">
      <c r="D1800" s="216"/>
    </row>
    <row r="1801" ht="15">
      <c r="D1801" s="216"/>
    </row>
    <row r="1802" ht="15">
      <c r="D1802" s="216"/>
    </row>
    <row r="1803" ht="15">
      <c r="D1803" s="216"/>
    </row>
    <row r="1804" ht="15">
      <c r="D1804" s="216"/>
    </row>
    <row r="1805" ht="15">
      <c r="D1805" s="216"/>
    </row>
    <row r="1806" ht="15">
      <c r="D1806" s="216"/>
    </row>
    <row r="1807" ht="15">
      <c r="D1807" s="216"/>
    </row>
    <row r="1808" ht="15">
      <c r="D1808" s="216"/>
    </row>
    <row r="1809" ht="15">
      <c r="D1809" s="216"/>
    </row>
    <row r="1810" ht="15">
      <c r="D1810" s="216"/>
    </row>
    <row r="1811" ht="15">
      <c r="D1811" s="216"/>
    </row>
    <row r="1812" ht="15">
      <c r="D1812" s="216"/>
    </row>
    <row r="1813" ht="15">
      <c r="D1813" s="216"/>
    </row>
    <row r="1814" ht="15">
      <c r="D1814" s="216"/>
    </row>
    <row r="1815" ht="15">
      <c r="D1815" s="216"/>
    </row>
    <row r="1816" ht="15">
      <c r="D1816" s="216"/>
    </row>
    <row r="1817" ht="15">
      <c r="D1817" s="216"/>
    </row>
    <row r="1818" ht="15">
      <c r="D1818" s="216"/>
    </row>
    <row r="1819" ht="15">
      <c r="D1819" s="216"/>
    </row>
    <row r="1820" ht="15">
      <c r="D1820" s="216"/>
    </row>
    <row r="1821" ht="15">
      <c r="D1821" s="216"/>
    </row>
    <row r="1822" ht="15">
      <c r="D1822" s="216"/>
    </row>
    <row r="1823" ht="15">
      <c r="D1823" s="216"/>
    </row>
    <row r="1824" ht="15">
      <c r="D1824" s="216"/>
    </row>
    <row r="1825" ht="15">
      <c r="D1825" s="216"/>
    </row>
    <row r="1826" ht="15">
      <c r="D1826" s="216"/>
    </row>
    <row r="1827" ht="15">
      <c r="D1827" s="216"/>
    </row>
    <row r="1828" ht="15">
      <c r="D1828" s="216"/>
    </row>
    <row r="1829" ht="15">
      <c r="D1829" s="216"/>
    </row>
    <row r="1830" ht="15">
      <c r="D1830" s="216"/>
    </row>
    <row r="1831" ht="15">
      <c r="D1831" s="216"/>
    </row>
    <row r="1832" ht="15">
      <c r="D1832" s="216"/>
    </row>
    <row r="1833" ht="15">
      <c r="D1833" s="216"/>
    </row>
    <row r="1834" ht="15">
      <c r="D1834" s="216"/>
    </row>
    <row r="1835" ht="15">
      <c r="D1835" s="216"/>
    </row>
    <row r="1836" ht="15">
      <c r="D1836" s="216"/>
    </row>
    <row r="1837" ht="15">
      <c r="D1837" s="216"/>
    </row>
    <row r="1838" ht="15">
      <c r="D1838" s="216"/>
    </row>
    <row r="1839" ht="15">
      <c r="D1839" s="216"/>
    </row>
    <row r="1840" ht="15">
      <c r="D1840" s="216"/>
    </row>
    <row r="1841" ht="15">
      <c r="D1841" s="216"/>
    </row>
    <row r="1842" ht="15">
      <c r="D1842" s="216"/>
    </row>
    <row r="1843" ht="15">
      <c r="D1843" s="216"/>
    </row>
    <row r="1844" ht="15">
      <c r="D1844" s="216"/>
    </row>
    <row r="1845" ht="15">
      <c r="D1845" s="216"/>
    </row>
    <row r="1846" ht="15">
      <c r="D1846" s="216"/>
    </row>
    <row r="1847" ht="15">
      <c r="D1847" s="216"/>
    </row>
    <row r="1848" ht="15">
      <c r="D1848" s="216"/>
    </row>
    <row r="1849" ht="15">
      <c r="D1849" s="216"/>
    </row>
    <row r="1850" ht="15">
      <c r="D1850" s="216"/>
    </row>
    <row r="1851" ht="15">
      <c r="D1851" s="216"/>
    </row>
    <row r="1852" ht="15">
      <c r="D1852" s="216"/>
    </row>
    <row r="1853" ht="15">
      <c r="D1853" s="216"/>
    </row>
    <row r="1854" ht="15">
      <c r="D1854" s="216"/>
    </row>
    <row r="1855" ht="15">
      <c r="D1855" s="216"/>
    </row>
    <row r="1856" ht="15">
      <c r="D1856" s="216"/>
    </row>
    <row r="1857" ht="15">
      <c r="D1857" s="216"/>
    </row>
    <row r="1858" ht="15">
      <c r="D1858" s="216"/>
    </row>
    <row r="1859" ht="15">
      <c r="D1859" s="216"/>
    </row>
    <row r="1860" ht="15">
      <c r="D1860" s="216"/>
    </row>
    <row r="1861" ht="15">
      <c r="D1861" s="216"/>
    </row>
    <row r="1862" ht="15">
      <c r="D1862" s="216"/>
    </row>
    <row r="1863" ht="15">
      <c r="D1863" s="216"/>
    </row>
    <row r="1864" ht="15">
      <c r="D1864" s="216"/>
    </row>
    <row r="1865" ht="15">
      <c r="D1865" s="216"/>
    </row>
    <row r="1866" ht="15">
      <c r="D1866" s="216"/>
    </row>
    <row r="1867" ht="15">
      <c r="D1867" s="216"/>
    </row>
    <row r="1868" ht="15">
      <c r="D1868" s="216"/>
    </row>
    <row r="1869" ht="15">
      <c r="D1869" s="216"/>
    </row>
    <row r="1870" ht="15">
      <c r="D1870" s="216"/>
    </row>
    <row r="1871" ht="15">
      <c r="D1871" s="216"/>
    </row>
    <row r="1872" ht="15">
      <c r="D1872" s="216"/>
    </row>
    <row r="1873" ht="15">
      <c r="D1873" s="216"/>
    </row>
    <row r="1874" ht="15">
      <c r="D1874" s="216"/>
    </row>
    <row r="1875" ht="15">
      <c r="D1875" s="216"/>
    </row>
    <row r="1876" ht="15">
      <c r="D1876" s="216"/>
    </row>
    <row r="1877" ht="15">
      <c r="D1877" s="216"/>
    </row>
    <row r="1878" ht="15">
      <c r="D1878" s="216"/>
    </row>
    <row r="1879" ht="15">
      <c r="D1879" s="216"/>
    </row>
    <row r="1880" ht="15">
      <c r="D1880" s="216"/>
    </row>
    <row r="1881" ht="15">
      <c r="D1881" s="216"/>
    </row>
    <row r="1882" ht="15">
      <c r="D1882" s="216"/>
    </row>
    <row r="1883" ht="15">
      <c r="D1883" s="216"/>
    </row>
    <row r="1884" ht="15">
      <c r="D1884" s="216"/>
    </row>
    <row r="1885" ht="15">
      <c r="D1885" s="216"/>
    </row>
    <row r="1886" ht="15">
      <c r="D1886" s="216"/>
    </row>
    <row r="1887" ht="15">
      <c r="D1887" s="216"/>
    </row>
    <row r="1888" ht="15">
      <c r="D1888" s="216"/>
    </row>
    <row r="1889" ht="15">
      <c r="D1889" s="216"/>
    </row>
    <row r="1890" ht="15">
      <c r="D1890" s="216"/>
    </row>
    <row r="1891" ht="15">
      <c r="D1891" s="216"/>
    </row>
    <row r="1892" ht="15">
      <c r="D1892" s="216"/>
    </row>
    <row r="1893" ht="15">
      <c r="D1893" s="216"/>
    </row>
    <row r="1894" ht="15">
      <c r="D1894" s="216"/>
    </row>
    <row r="1895" ht="15">
      <c r="D1895" s="216"/>
    </row>
    <row r="1896" ht="15">
      <c r="D1896" s="216"/>
    </row>
    <row r="1897" ht="15">
      <c r="D1897" s="216"/>
    </row>
    <row r="1898" ht="15">
      <c r="D1898" s="216"/>
    </row>
    <row r="1899" ht="15">
      <c r="D1899" s="216"/>
    </row>
    <row r="1900" ht="15">
      <c r="D1900" s="216"/>
    </row>
    <row r="1901" ht="15">
      <c r="D1901" s="216"/>
    </row>
    <row r="1902" ht="15">
      <c r="D1902" s="216"/>
    </row>
    <row r="1903" ht="15">
      <c r="D1903" s="216"/>
    </row>
    <row r="1904" ht="15">
      <c r="D1904" s="216"/>
    </row>
    <row r="1905" ht="15">
      <c r="D1905" s="216"/>
    </row>
    <row r="1906" ht="15">
      <c r="D1906" s="216"/>
    </row>
    <row r="1907" ht="15">
      <c r="D1907" s="216"/>
    </row>
    <row r="1908" ht="15">
      <c r="D1908" s="216"/>
    </row>
    <row r="1909" ht="15">
      <c r="D1909" s="216"/>
    </row>
    <row r="1910" ht="15">
      <c r="D1910" s="216"/>
    </row>
    <row r="1911" ht="15">
      <c r="D1911" s="216"/>
    </row>
    <row r="1912" ht="15">
      <c r="D1912" s="216"/>
    </row>
    <row r="1913" ht="15">
      <c r="D1913" s="216"/>
    </row>
    <row r="1914" ht="15">
      <c r="D1914" s="216"/>
    </row>
    <row r="1915" ht="15">
      <c r="D1915" s="216"/>
    </row>
    <row r="1916" ht="15">
      <c r="D1916" s="216"/>
    </row>
    <row r="1917" ht="15">
      <c r="D1917" s="216"/>
    </row>
    <row r="1918" ht="15">
      <c r="D1918" s="216"/>
    </row>
    <row r="1919" ht="15">
      <c r="D1919" s="216"/>
    </row>
    <row r="1920" ht="15">
      <c r="D1920" s="216"/>
    </row>
    <row r="1921" ht="15">
      <c r="D1921" s="216"/>
    </row>
    <row r="1922" ht="15">
      <c r="D1922" s="216"/>
    </row>
    <row r="1923" ht="15">
      <c r="D1923" s="216"/>
    </row>
    <row r="1924" ht="15">
      <c r="D1924" s="216"/>
    </row>
    <row r="1925" ht="15">
      <c r="D1925" s="216"/>
    </row>
    <row r="1926" ht="15">
      <c r="D1926" s="216"/>
    </row>
    <row r="1927" ht="15">
      <c r="D1927" s="216"/>
    </row>
    <row r="1928" ht="15">
      <c r="D1928" s="216"/>
    </row>
    <row r="1929" ht="15">
      <c r="D1929" s="216"/>
    </row>
    <row r="1930" ht="15">
      <c r="D1930" s="216"/>
    </row>
    <row r="1931" ht="15">
      <c r="D1931" s="216"/>
    </row>
    <row r="1932" ht="15">
      <c r="D1932" s="216"/>
    </row>
    <row r="1933" ht="15">
      <c r="D1933" s="216"/>
    </row>
    <row r="1934" ht="15">
      <c r="D1934" s="216"/>
    </row>
    <row r="1935" ht="15">
      <c r="D1935" s="216"/>
    </row>
    <row r="1936" ht="15">
      <c r="D1936" s="216"/>
    </row>
    <row r="1937" ht="15">
      <c r="D1937" s="216"/>
    </row>
    <row r="1938" ht="15">
      <c r="D1938" s="216"/>
    </row>
    <row r="1939" ht="15">
      <c r="D1939" s="216"/>
    </row>
    <row r="1940" ht="15">
      <c r="D1940" s="216"/>
    </row>
    <row r="1941" ht="15">
      <c r="D1941" s="216"/>
    </row>
    <row r="1942" ht="15">
      <c r="D1942" s="216"/>
    </row>
    <row r="1943" ht="15">
      <c r="D1943" s="216"/>
    </row>
    <row r="1944" ht="15">
      <c r="D1944" s="216"/>
    </row>
    <row r="1945" ht="15">
      <c r="D1945" s="216"/>
    </row>
    <row r="1946" ht="15">
      <c r="D1946" s="216"/>
    </row>
    <row r="1947" ht="15">
      <c r="D1947" s="216"/>
    </row>
    <row r="1948" ht="15">
      <c r="D1948" s="216"/>
    </row>
    <row r="1949" ht="15">
      <c r="D1949" s="216"/>
    </row>
    <row r="1950" ht="15">
      <c r="D1950" s="216"/>
    </row>
    <row r="1951" ht="15">
      <c r="D1951" s="216"/>
    </row>
    <row r="1952" ht="15">
      <c r="D1952" s="216"/>
    </row>
    <row r="1953" ht="15">
      <c r="D1953" s="216"/>
    </row>
    <row r="1954" ht="15">
      <c r="D1954" s="216"/>
    </row>
    <row r="1955" ht="15">
      <c r="D1955" s="216"/>
    </row>
    <row r="1956" ht="15">
      <c r="D1956" s="216"/>
    </row>
    <row r="1957" ht="15">
      <c r="D1957" s="216"/>
    </row>
    <row r="1958" ht="15">
      <c r="D1958" s="216"/>
    </row>
    <row r="1959" ht="15">
      <c r="D1959" s="216"/>
    </row>
    <row r="1960" ht="15">
      <c r="D1960" s="216"/>
    </row>
    <row r="1961" ht="15">
      <c r="D1961" s="216"/>
    </row>
    <row r="1962" ht="15">
      <c r="D1962" s="216"/>
    </row>
    <row r="1963" ht="15">
      <c r="D1963" s="216"/>
    </row>
    <row r="1964" ht="15">
      <c r="D1964" s="216"/>
    </row>
    <row r="1965" ht="15">
      <c r="D1965" s="216"/>
    </row>
    <row r="1966" ht="15">
      <c r="D1966" s="216"/>
    </row>
    <row r="1967" ht="15">
      <c r="D1967" s="216"/>
    </row>
    <row r="1968" ht="15">
      <c r="D1968" s="216"/>
    </row>
    <row r="1969" ht="15">
      <c r="D1969" s="216"/>
    </row>
    <row r="1970" ht="15">
      <c r="D1970" s="216"/>
    </row>
    <row r="1971" ht="15">
      <c r="D1971" s="216"/>
    </row>
    <row r="1972" ht="15">
      <c r="D1972" s="216"/>
    </row>
    <row r="1973" ht="15">
      <c r="D1973" s="216"/>
    </row>
    <row r="1974" ht="15">
      <c r="D1974" s="216"/>
    </row>
    <row r="1975" ht="15">
      <c r="D1975" s="216"/>
    </row>
    <row r="1976" ht="15">
      <c r="D1976" s="216"/>
    </row>
    <row r="1977" ht="15">
      <c r="D1977" s="216"/>
    </row>
    <row r="1978" ht="15">
      <c r="D1978" s="216"/>
    </row>
    <row r="1979" ht="15">
      <c r="D1979" s="216"/>
    </row>
    <row r="1980" ht="15">
      <c r="D1980" s="216"/>
    </row>
    <row r="1981" ht="15">
      <c r="D1981" s="216"/>
    </row>
    <row r="1982" ht="15">
      <c r="D1982" s="216"/>
    </row>
    <row r="1983" ht="15">
      <c r="D1983" s="216"/>
    </row>
    <row r="1984" ht="15">
      <c r="D1984" s="216"/>
    </row>
    <row r="1985" ht="15">
      <c r="D1985" s="216"/>
    </row>
    <row r="1986" ht="15">
      <c r="D1986" s="216"/>
    </row>
    <row r="1987" ht="15">
      <c r="D1987" s="216"/>
    </row>
    <row r="1988" ht="15">
      <c r="D1988" s="216"/>
    </row>
    <row r="1989" ht="15">
      <c r="D1989" s="216"/>
    </row>
    <row r="1990" ht="15">
      <c r="D1990" s="216"/>
    </row>
    <row r="1991" ht="15">
      <c r="D1991" s="216"/>
    </row>
    <row r="1992" ht="15">
      <c r="D1992" s="216"/>
    </row>
    <row r="1993" ht="15">
      <c r="D1993" s="216"/>
    </row>
    <row r="1994" ht="15">
      <c r="D1994" s="216"/>
    </row>
    <row r="1995" ht="15">
      <c r="D1995" s="216"/>
    </row>
    <row r="1996" ht="15">
      <c r="D1996" s="216"/>
    </row>
    <row r="1997" ht="15">
      <c r="D1997" s="216"/>
    </row>
    <row r="1998" ht="15">
      <c r="D1998" s="216"/>
    </row>
    <row r="1999" ht="15">
      <c r="D1999" s="216"/>
    </row>
    <row r="2000" ht="15">
      <c r="D2000" s="216"/>
    </row>
    <row r="2001" ht="15">
      <c r="D2001" s="216"/>
    </row>
    <row r="2002" ht="15">
      <c r="D2002" s="216"/>
    </row>
    <row r="2003" ht="15">
      <c r="D2003" s="216"/>
    </row>
    <row r="2004" ht="15">
      <c r="D2004" s="216"/>
    </row>
    <row r="2005" ht="15">
      <c r="D2005" s="216"/>
    </row>
    <row r="2006" ht="15">
      <c r="D2006" s="216"/>
    </row>
    <row r="2007" ht="15">
      <c r="D2007" s="216"/>
    </row>
    <row r="2008" ht="15">
      <c r="D2008" s="216"/>
    </row>
    <row r="2009" ht="15">
      <c r="D2009" s="216"/>
    </row>
    <row r="2010" ht="15">
      <c r="D2010" s="216"/>
    </row>
    <row r="2011" ht="15">
      <c r="D2011" s="216"/>
    </row>
    <row r="2012" ht="15">
      <c r="D2012" s="216"/>
    </row>
    <row r="2013" ht="15">
      <c r="D2013" s="216"/>
    </row>
    <row r="2014" ht="15">
      <c r="D2014" s="216"/>
    </row>
    <row r="2015" ht="15">
      <c r="D2015" s="216"/>
    </row>
    <row r="2016" ht="15">
      <c r="D2016" s="216"/>
    </row>
    <row r="2017" ht="15">
      <c r="D2017" s="216"/>
    </row>
    <row r="2018" ht="15">
      <c r="D2018" s="216"/>
    </row>
    <row r="2019" ht="15">
      <c r="D2019" s="216"/>
    </row>
    <row r="2020" ht="15">
      <c r="D2020" s="216"/>
    </row>
    <row r="2021" ht="15">
      <c r="D2021" s="216"/>
    </row>
    <row r="2022" ht="15">
      <c r="D2022" s="216"/>
    </row>
    <row r="2023" ht="15">
      <c r="D2023" s="216"/>
    </row>
    <row r="2024" ht="15">
      <c r="D2024" s="216"/>
    </row>
    <row r="2025" ht="15">
      <c r="D2025" s="216"/>
    </row>
    <row r="2026" ht="15">
      <c r="D2026" s="216"/>
    </row>
    <row r="2027" ht="15">
      <c r="D2027" s="216"/>
    </row>
    <row r="2028" ht="15">
      <c r="D2028" s="216"/>
    </row>
    <row r="2029" ht="15">
      <c r="D2029" s="216"/>
    </row>
    <row r="2030" ht="15">
      <c r="D2030" s="216"/>
    </row>
    <row r="2031" ht="15">
      <c r="D2031" s="216"/>
    </row>
    <row r="2032" ht="15">
      <c r="D2032" s="216"/>
    </row>
    <row r="2033" ht="15">
      <c r="D2033" s="216"/>
    </row>
    <row r="2034" ht="15">
      <c r="D2034" s="216"/>
    </row>
    <row r="2035" ht="15">
      <c r="D2035" s="216"/>
    </row>
    <row r="2036" ht="15">
      <c r="D2036" s="216"/>
    </row>
    <row r="2037" ht="15">
      <c r="D2037" s="216"/>
    </row>
    <row r="2038" ht="15">
      <c r="D2038" s="216"/>
    </row>
    <row r="2039" ht="15">
      <c r="D2039" s="216"/>
    </row>
    <row r="2040" ht="15">
      <c r="D2040" s="216"/>
    </row>
    <row r="2041" ht="15">
      <c r="D2041" s="216"/>
    </row>
    <row r="2042" ht="15">
      <c r="D2042" s="216"/>
    </row>
    <row r="2043" ht="15">
      <c r="D2043" s="216"/>
    </row>
    <row r="2044" ht="15">
      <c r="D2044" s="216"/>
    </row>
    <row r="2045" ht="15">
      <c r="D2045" s="216"/>
    </row>
    <row r="2046" ht="15">
      <c r="D2046" s="216"/>
    </row>
    <row r="2047" ht="15">
      <c r="D2047" s="216"/>
    </row>
    <row r="2048" ht="15">
      <c r="D2048" s="216"/>
    </row>
    <row r="2049" ht="15">
      <c r="D2049" s="216"/>
    </row>
    <row r="2050" ht="15">
      <c r="D2050" s="216"/>
    </row>
    <row r="2051" ht="15">
      <c r="D2051" s="216"/>
    </row>
    <row r="2052" ht="15">
      <c r="D2052" s="216"/>
    </row>
    <row r="2053" ht="15">
      <c r="D2053" s="216"/>
    </row>
    <row r="2054" ht="15">
      <c r="D2054" s="216"/>
    </row>
    <row r="2055" ht="15">
      <c r="D2055" s="216"/>
    </row>
    <row r="2056" ht="15">
      <c r="D2056" s="216"/>
    </row>
    <row r="2057" ht="15">
      <c r="D2057" s="216"/>
    </row>
    <row r="2058" ht="15">
      <c r="D2058" s="216"/>
    </row>
    <row r="2059" ht="15">
      <c r="D2059" s="216"/>
    </row>
    <row r="2060" ht="15">
      <c r="D2060" s="216"/>
    </row>
    <row r="2061" ht="15">
      <c r="D2061" s="216"/>
    </row>
    <row r="2062" ht="15">
      <c r="D2062" s="216"/>
    </row>
    <row r="2063" ht="15">
      <c r="D2063" s="216"/>
    </row>
    <row r="2064" ht="15">
      <c r="D2064" s="216"/>
    </row>
    <row r="2065" ht="15">
      <c r="D2065" s="216"/>
    </row>
    <row r="2066" ht="15">
      <c r="D2066" s="216"/>
    </row>
    <row r="2067" ht="15">
      <c r="D2067" s="216"/>
    </row>
    <row r="2068" ht="15">
      <c r="D2068" s="216"/>
    </row>
    <row r="2069" ht="15">
      <c r="D2069" s="216"/>
    </row>
    <row r="2070" ht="15">
      <c r="D2070" s="216"/>
    </row>
    <row r="2071" ht="15">
      <c r="D2071" s="216"/>
    </row>
    <row r="2072" ht="15">
      <c r="D2072" s="216"/>
    </row>
    <row r="2073" ht="15">
      <c r="D2073" s="216"/>
    </row>
    <row r="2074" ht="15">
      <c r="D2074" s="216"/>
    </row>
    <row r="2075" ht="15">
      <c r="D2075" s="216"/>
    </row>
    <row r="2076" ht="15">
      <c r="D2076" s="216"/>
    </row>
    <row r="2077" ht="15">
      <c r="D2077" s="216"/>
    </row>
    <row r="2078" ht="15">
      <c r="D2078" s="216"/>
    </row>
    <row r="2079" ht="15">
      <c r="D2079" s="216"/>
    </row>
    <row r="2080" ht="15">
      <c r="D2080" s="216"/>
    </row>
    <row r="2081" ht="15">
      <c r="D2081" s="216"/>
    </row>
    <row r="2082" ht="15">
      <c r="D2082" s="216"/>
    </row>
    <row r="2083" ht="15">
      <c r="D2083" s="216"/>
    </row>
    <row r="2084" ht="15">
      <c r="D2084" s="216"/>
    </row>
    <row r="2085" ht="15">
      <c r="D2085" s="216"/>
    </row>
    <row r="2086" ht="15">
      <c r="D2086" s="216"/>
    </row>
    <row r="2087" ht="15">
      <c r="D2087" s="216"/>
    </row>
    <row r="2088" ht="15">
      <c r="D2088" s="216"/>
    </row>
    <row r="2089" ht="15">
      <c r="D2089" s="216"/>
    </row>
    <row r="2090" ht="15">
      <c r="D2090" s="216"/>
    </row>
    <row r="2091" ht="15">
      <c r="D2091" s="216"/>
    </row>
    <row r="2092" ht="15">
      <c r="D2092" s="216"/>
    </row>
    <row r="2093" ht="15">
      <c r="D2093" s="216"/>
    </row>
    <row r="2094" ht="15">
      <c r="D2094" s="216"/>
    </row>
    <row r="2095" ht="15">
      <c r="D2095" s="216"/>
    </row>
    <row r="2096" ht="15">
      <c r="D2096" s="216"/>
    </row>
    <row r="2097" ht="15">
      <c r="D2097" s="216"/>
    </row>
    <row r="2098" ht="15">
      <c r="D2098" s="216"/>
    </row>
    <row r="2099" ht="15">
      <c r="D2099" s="216"/>
    </row>
    <row r="2100" ht="15">
      <c r="D2100" s="216"/>
    </row>
    <row r="2101" ht="15">
      <c r="D2101" s="216"/>
    </row>
    <row r="2102" ht="15">
      <c r="D2102" s="216"/>
    </row>
    <row r="2103" ht="15">
      <c r="D2103" s="216"/>
    </row>
    <row r="2104" ht="15">
      <c r="D2104" s="216"/>
    </row>
    <row r="2105" ht="15">
      <c r="D2105" s="216"/>
    </row>
    <row r="2106" ht="15">
      <c r="D2106" s="216"/>
    </row>
    <row r="2107" ht="15">
      <c r="D2107" s="216"/>
    </row>
    <row r="2108" ht="15">
      <c r="D2108" s="216"/>
    </row>
    <row r="2109" ht="15">
      <c r="D2109" s="216"/>
    </row>
    <row r="2110" ht="15">
      <c r="D2110" s="216"/>
    </row>
    <row r="2111" ht="15">
      <c r="D2111" s="216"/>
    </row>
    <row r="2112" ht="15">
      <c r="D2112" s="216"/>
    </row>
    <row r="2113" ht="15">
      <c r="D2113" s="216"/>
    </row>
    <row r="2114" ht="15">
      <c r="D2114" s="216"/>
    </row>
    <row r="2115" ht="15">
      <c r="D2115" s="216"/>
    </row>
    <row r="2116" ht="15">
      <c r="D2116" s="216"/>
    </row>
    <row r="2117" ht="15">
      <c r="D2117" s="216"/>
    </row>
    <row r="2118" ht="15">
      <c r="D2118" s="216"/>
    </row>
    <row r="2119" ht="15">
      <c r="D2119" s="216"/>
    </row>
    <row r="2120" ht="15">
      <c r="D2120" s="216"/>
    </row>
    <row r="2121" ht="15">
      <c r="D2121" s="216"/>
    </row>
    <row r="2122" ht="15">
      <c r="D2122" s="216"/>
    </row>
    <row r="2123" ht="15">
      <c r="D2123" s="216"/>
    </row>
    <row r="2124" ht="15">
      <c r="D2124" s="216"/>
    </row>
    <row r="2125" ht="15">
      <c r="D2125" s="216"/>
    </row>
    <row r="2126" ht="15">
      <c r="D2126" s="216"/>
    </row>
    <row r="2127" ht="15">
      <c r="D2127" s="216"/>
    </row>
    <row r="2128" ht="15">
      <c r="D2128" s="216"/>
    </row>
    <row r="2129" ht="15">
      <c r="D2129" s="216"/>
    </row>
    <row r="2130" ht="15">
      <c r="D2130" s="216"/>
    </row>
    <row r="2131" ht="15">
      <c r="D2131" s="216"/>
    </row>
    <row r="2132" ht="15">
      <c r="D2132" s="216"/>
    </row>
    <row r="2133" ht="15">
      <c r="D2133" s="216"/>
    </row>
    <row r="2134" ht="15">
      <c r="D2134" s="216"/>
    </row>
    <row r="2135" ht="15">
      <c r="D2135" s="216"/>
    </row>
    <row r="2136" ht="15">
      <c r="D2136" s="216"/>
    </row>
    <row r="2137" ht="15">
      <c r="D2137" s="216"/>
    </row>
    <row r="2138" ht="15">
      <c r="D2138" s="216"/>
    </row>
    <row r="2139" ht="15">
      <c r="D2139" s="216"/>
    </row>
    <row r="2140" ht="15">
      <c r="D2140" s="216"/>
    </row>
    <row r="2141" ht="15">
      <c r="D2141" s="216"/>
    </row>
    <row r="2142" ht="15">
      <c r="D2142" s="216"/>
    </row>
    <row r="2143" ht="15">
      <c r="D2143" s="216"/>
    </row>
    <row r="2144" ht="15">
      <c r="D2144" s="216"/>
    </row>
    <row r="2145" ht="15">
      <c r="D2145" s="216"/>
    </row>
    <row r="2146" ht="15">
      <c r="D2146" s="216"/>
    </row>
    <row r="2147" ht="15">
      <c r="D2147" s="216"/>
    </row>
    <row r="2148" ht="15">
      <c r="D2148" s="216"/>
    </row>
    <row r="2149" ht="15">
      <c r="D2149" s="216"/>
    </row>
    <row r="2150" ht="15">
      <c r="D2150" s="216"/>
    </row>
    <row r="2151" ht="15">
      <c r="D2151" s="216"/>
    </row>
    <row r="2152" ht="15">
      <c r="D2152" s="216"/>
    </row>
    <row r="2153" ht="15">
      <c r="D2153" s="216"/>
    </row>
    <row r="2154" ht="15">
      <c r="D2154" s="216"/>
    </row>
    <row r="2155" ht="15">
      <c r="D2155" s="216"/>
    </row>
    <row r="2156" ht="15">
      <c r="D2156" s="216"/>
    </row>
    <row r="2157" ht="15">
      <c r="D2157" s="216"/>
    </row>
    <row r="2158" ht="15">
      <c r="D2158" s="216"/>
    </row>
    <row r="2159" ht="15">
      <c r="D2159" s="216"/>
    </row>
    <row r="2160" ht="15">
      <c r="D2160" s="216"/>
    </row>
    <row r="2161" ht="15">
      <c r="D2161" s="216"/>
    </row>
    <row r="2162" ht="15">
      <c r="D2162" s="216"/>
    </row>
    <row r="2163" ht="15">
      <c r="D2163" s="216"/>
    </row>
    <row r="2164" ht="15">
      <c r="D2164" s="216"/>
    </row>
    <row r="2165" ht="15">
      <c r="D2165" s="216"/>
    </row>
    <row r="2166" ht="15">
      <c r="D2166" s="216"/>
    </row>
    <row r="2167" ht="15">
      <c r="D2167" s="216"/>
    </row>
    <row r="2168" ht="15">
      <c r="D2168" s="216"/>
    </row>
    <row r="2169" ht="15">
      <c r="D2169" s="216"/>
    </row>
    <row r="2170" ht="15">
      <c r="D2170" s="216"/>
    </row>
    <row r="2171" ht="15">
      <c r="D2171" s="216"/>
    </row>
    <row r="2172" ht="15">
      <c r="D2172" s="216"/>
    </row>
    <row r="2173" ht="15">
      <c r="D2173" s="216"/>
    </row>
    <row r="2174" ht="15">
      <c r="D2174" s="216"/>
    </row>
    <row r="2175" ht="15">
      <c r="D2175" s="216"/>
    </row>
    <row r="2176" ht="15">
      <c r="D2176" s="216"/>
    </row>
    <row r="2177" ht="15">
      <c r="D2177" s="216"/>
    </row>
    <row r="2178" ht="15">
      <c r="D2178" s="216"/>
    </row>
    <row r="2179" ht="15">
      <c r="D2179" s="216"/>
    </row>
    <row r="2180" ht="15">
      <c r="D2180" s="216"/>
    </row>
    <row r="2181" ht="15">
      <c r="D2181" s="216"/>
    </row>
    <row r="2182" ht="15">
      <c r="D2182" s="216"/>
    </row>
    <row r="2183" ht="15">
      <c r="D2183" s="216"/>
    </row>
    <row r="2184" ht="15">
      <c r="D2184" s="216"/>
    </row>
    <row r="2185" ht="15">
      <c r="D2185" s="216"/>
    </row>
    <row r="2186" ht="15">
      <c r="D2186" s="216"/>
    </row>
    <row r="2187" ht="15">
      <c r="D2187" s="216"/>
    </row>
    <row r="2188" ht="15">
      <c r="D2188" s="216"/>
    </row>
    <row r="2189" ht="15">
      <c r="D2189" s="216"/>
    </row>
    <row r="2190" ht="15">
      <c r="D2190" s="216"/>
    </row>
    <row r="2191" ht="15">
      <c r="D2191" s="216"/>
    </row>
    <row r="2192" ht="15">
      <c r="D2192" s="216"/>
    </row>
    <row r="2193" ht="15">
      <c r="D2193" s="216"/>
    </row>
    <row r="2194" ht="15">
      <c r="D2194" s="216"/>
    </row>
    <row r="2195" ht="15">
      <c r="D2195" s="216"/>
    </row>
    <row r="2196" ht="15">
      <c r="D2196" s="216"/>
    </row>
    <row r="2197" ht="15">
      <c r="D2197" s="216"/>
    </row>
    <row r="2198" ht="15">
      <c r="D2198" s="216"/>
    </row>
    <row r="2199" ht="15">
      <c r="D2199" s="216"/>
    </row>
    <row r="2200" ht="15">
      <c r="D2200" s="216"/>
    </row>
    <row r="2201" ht="15">
      <c r="D2201" s="216"/>
    </row>
    <row r="2202" ht="15">
      <c r="D2202" s="216"/>
    </row>
    <row r="2203" ht="15">
      <c r="D2203" s="216"/>
    </row>
    <row r="2204" ht="15">
      <c r="D2204" s="216"/>
    </row>
    <row r="2205" ht="15">
      <c r="D2205" s="216"/>
    </row>
    <row r="2206" ht="15">
      <c r="D2206" s="216"/>
    </row>
    <row r="2207" ht="15">
      <c r="D2207" s="216"/>
    </row>
    <row r="2208" ht="15">
      <c r="D2208" s="216"/>
    </row>
    <row r="2209" ht="15">
      <c r="D2209" s="216"/>
    </row>
    <row r="2210" ht="15">
      <c r="D2210" s="216"/>
    </row>
    <row r="2211" ht="15">
      <c r="D2211" s="216"/>
    </row>
    <row r="2212" ht="15">
      <c r="D2212" s="216"/>
    </row>
    <row r="2213" ht="15">
      <c r="D2213" s="216"/>
    </row>
    <row r="2214" ht="15">
      <c r="D2214" s="216"/>
    </row>
    <row r="2215" ht="15">
      <c r="D2215" s="216"/>
    </row>
    <row r="2216" ht="15">
      <c r="D2216" s="216"/>
    </row>
    <row r="2217" ht="15">
      <c r="D2217" s="216"/>
    </row>
    <row r="2218" ht="15">
      <c r="D2218" s="216"/>
    </row>
    <row r="2219" ht="15">
      <c r="D2219" s="216"/>
    </row>
    <row r="2220" ht="15">
      <c r="D2220" s="216"/>
    </row>
    <row r="2221" ht="15">
      <c r="D2221" s="216"/>
    </row>
    <row r="2222" ht="15">
      <c r="D2222" s="216"/>
    </row>
    <row r="2223" ht="15">
      <c r="D2223" s="216"/>
    </row>
    <row r="2224" ht="15">
      <c r="D2224" s="216"/>
    </row>
    <row r="2225" ht="15">
      <c r="D2225" s="216"/>
    </row>
    <row r="2226" ht="15">
      <c r="D2226" s="216"/>
    </row>
    <row r="2227" ht="15">
      <c r="D2227" s="216"/>
    </row>
    <row r="2228" ht="15">
      <c r="D2228" s="216"/>
    </row>
    <row r="2229" ht="15">
      <c r="D2229" s="216"/>
    </row>
    <row r="2230" ht="15">
      <c r="D2230" s="216"/>
    </row>
    <row r="2231" ht="15">
      <c r="D2231" s="216"/>
    </row>
    <row r="2232" ht="15">
      <c r="D2232" s="216"/>
    </row>
    <row r="2233" ht="15">
      <c r="D2233" s="216"/>
    </row>
    <row r="2234" ht="15">
      <c r="D2234" s="216"/>
    </row>
    <row r="2235" ht="15">
      <c r="D2235" s="216"/>
    </row>
    <row r="2236" ht="15">
      <c r="D2236" s="216"/>
    </row>
    <row r="2237" ht="15">
      <c r="D2237" s="216"/>
    </row>
    <row r="2238" ht="15">
      <c r="D2238" s="216"/>
    </row>
    <row r="2239" ht="15">
      <c r="D2239" s="216"/>
    </row>
    <row r="2240" ht="15">
      <c r="D2240" s="216"/>
    </row>
    <row r="2241" ht="15">
      <c r="D2241" s="216"/>
    </row>
    <row r="2242" ht="15">
      <c r="D2242" s="216"/>
    </row>
    <row r="2243" ht="15">
      <c r="D2243" s="216"/>
    </row>
    <row r="2244" ht="15">
      <c r="D2244" s="216"/>
    </row>
    <row r="2245" ht="15">
      <c r="D2245" s="216"/>
    </row>
    <row r="2246" ht="15">
      <c r="D2246" s="216"/>
    </row>
    <row r="2247" ht="15">
      <c r="D2247" s="216"/>
    </row>
    <row r="2248" ht="15">
      <c r="D2248" s="216"/>
    </row>
    <row r="2249" ht="15">
      <c r="D2249" s="216"/>
    </row>
    <row r="2250" ht="15">
      <c r="D2250" s="216"/>
    </row>
    <row r="2251" ht="15">
      <c r="D2251" s="216"/>
    </row>
    <row r="2252" ht="15">
      <c r="D2252" s="216"/>
    </row>
    <row r="2253" ht="15">
      <c r="D2253" s="216"/>
    </row>
    <row r="2254" ht="15">
      <c r="D2254" s="216"/>
    </row>
    <row r="2255" ht="15">
      <c r="D2255" s="216"/>
    </row>
    <row r="2256" ht="15">
      <c r="D2256" s="216"/>
    </row>
    <row r="2257" ht="15">
      <c r="D2257" s="216"/>
    </row>
    <row r="2258" ht="15">
      <c r="D2258" s="216"/>
    </row>
    <row r="2259" ht="15">
      <c r="D2259" s="216"/>
    </row>
    <row r="2260" ht="15">
      <c r="D2260" s="216"/>
    </row>
    <row r="2261" ht="15">
      <c r="D2261" s="216"/>
    </row>
    <row r="2262" ht="15">
      <c r="D2262" s="216"/>
    </row>
    <row r="2263" ht="15">
      <c r="D2263" s="216"/>
    </row>
    <row r="2264" ht="15">
      <c r="D2264" s="216"/>
    </row>
    <row r="2265" ht="15">
      <c r="D2265" s="216"/>
    </row>
    <row r="2266" ht="15">
      <c r="D2266" s="216"/>
    </row>
    <row r="2267" ht="15">
      <c r="D2267" s="216"/>
    </row>
    <row r="2268" ht="15">
      <c r="D2268" s="216"/>
    </row>
    <row r="2269" ht="15">
      <c r="D2269" s="216"/>
    </row>
    <row r="2270" ht="15">
      <c r="D2270" s="216"/>
    </row>
    <row r="2271" ht="15">
      <c r="D2271" s="216"/>
    </row>
    <row r="2272" ht="15">
      <c r="D2272" s="216"/>
    </row>
    <row r="2273" ht="15">
      <c r="D2273" s="216"/>
    </row>
    <row r="2274" ht="15">
      <c r="D2274" s="216"/>
    </row>
    <row r="2275" ht="15">
      <c r="D2275" s="216"/>
    </row>
    <row r="2276" ht="15">
      <c r="D2276" s="216"/>
    </row>
    <row r="2277" ht="15">
      <c r="D2277" s="216"/>
    </row>
    <row r="2278" ht="15">
      <c r="D2278" s="216"/>
    </row>
    <row r="2279" ht="15">
      <c r="D2279" s="216"/>
    </row>
    <row r="2280" ht="15">
      <c r="D2280" s="216"/>
    </row>
    <row r="2281" ht="15">
      <c r="D2281" s="216"/>
    </row>
    <row r="2282" ht="15">
      <c r="D2282" s="216"/>
    </row>
    <row r="2283" ht="15">
      <c r="D2283" s="216"/>
    </row>
    <row r="2284" ht="15">
      <c r="D2284" s="216"/>
    </row>
    <row r="2285" ht="15">
      <c r="D2285" s="216"/>
    </row>
    <row r="2286" ht="15">
      <c r="D2286" s="216"/>
    </row>
    <row r="2287" ht="15">
      <c r="D2287" s="216"/>
    </row>
    <row r="2288" ht="15">
      <c r="D2288" s="216"/>
    </row>
    <row r="2289" ht="15">
      <c r="D2289" s="216"/>
    </row>
    <row r="2290" ht="15">
      <c r="D2290" s="216"/>
    </row>
    <row r="2291" ht="15">
      <c r="D2291" s="216"/>
    </row>
    <row r="2292" ht="15">
      <c r="D2292" s="216"/>
    </row>
    <row r="2293" ht="15">
      <c r="D2293" s="216"/>
    </row>
    <row r="2294" ht="15">
      <c r="D2294" s="216"/>
    </row>
    <row r="2295" ht="15">
      <c r="D2295" s="216"/>
    </row>
    <row r="2296" ht="15">
      <c r="D2296" s="216"/>
    </row>
    <row r="2297" ht="15">
      <c r="D2297" s="216"/>
    </row>
    <row r="2298" ht="15">
      <c r="D2298" s="216"/>
    </row>
    <row r="2299" ht="15">
      <c r="D2299" s="216"/>
    </row>
    <row r="2300" ht="15">
      <c r="D2300" s="216"/>
    </row>
    <row r="2301" ht="15">
      <c r="D2301" s="216"/>
    </row>
    <row r="2302" ht="15">
      <c r="D2302" s="216"/>
    </row>
    <row r="2303" ht="15">
      <c r="D2303" s="216"/>
    </row>
    <row r="2304" ht="15">
      <c r="D2304" s="216"/>
    </row>
    <row r="2305" ht="15">
      <c r="D2305" s="216"/>
    </row>
    <row r="2306" ht="15">
      <c r="D2306" s="216"/>
    </row>
    <row r="2307" ht="15">
      <c r="D2307" s="216"/>
    </row>
    <row r="2308" ht="15">
      <c r="D2308" s="216"/>
    </row>
    <row r="2309" ht="15">
      <c r="D2309" s="216"/>
    </row>
    <row r="2310" ht="15">
      <c r="D2310" s="216"/>
    </row>
    <row r="2311" ht="15">
      <c r="D2311" s="216"/>
    </row>
    <row r="2312" ht="15">
      <c r="D2312" s="216"/>
    </row>
    <row r="2313" ht="15">
      <c r="D2313" s="216"/>
    </row>
    <row r="2314" ht="15">
      <c r="D2314" s="216"/>
    </row>
    <row r="2315" ht="15">
      <c r="D2315" s="216"/>
    </row>
    <row r="2316" ht="15">
      <c r="D2316" s="216"/>
    </row>
    <row r="2317" ht="15">
      <c r="D2317" s="216"/>
    </row>
    <row r="2318" ht="15">
      <c r="D2318" s="216"/>
    </row>
    <row r="2319" ht="15">
      <c r="D2319" s="216"/>
    </row>
    <row r="2320" ht="15">
      <c r="D2320" s="216"/>
    </row>
    <row r="2321" ht="15">
      <c r="D2321" s="216"/>
    </row>
    <row r="2322" ht="15">
      <c r="D2322" s="216"/>
    </row>
    <row r="2323" ht="15">
      <c r="D2323" s="216"/>
    </row>
    <row r="2324" ht="15">
      <c r="D2324" s="216"/>
    </row>
    <row r="2325" ht="15">
      <c r="D2325" s="216"/>
    </row>
    <row r="2326" ht="15">
      <c r="D2326" s="216"/>
    </row>
    <row r="2327" ht="15">
      <c r="D2327" s="216"/>
    </row>
    <row r="2328" ht="15">
      <c r="D2328" s="216"/>
    </row>
    <row r="2329" ht="15">
      <c r="D2329" s="216"/>
    </row>
    <row r="2330" ht="15">
      <c r="D2330" s="216"/>
    </row>
    <row r="2331" ht="15">
      <c r="D2331" s="216"/>
    </row>
    <row r="2332" ht="15">
      <c r="D2332" s="216"/>
    </row>
    <row r="2333" ht="15">
      <c r="D2333" s="216"/>
    </row>
    <row r="2334" ht="15">
      <c r="D2334" s="216"/>
    </row>
    <row r="2335" ht="15">
      <c r="D2335" s="216"/>
    </row>
    <row r="2336" ht="15">
      <c r="D2336" s="216"/>
    </row>
    <row r="2337" ht="15">
      <c r="D2337" s="216"/>
    </row>
    <row r="2338" ht="15">
      <c r="D2338" s="216"/>
    </row>
    <row r="2339" ht="15">
      <c r="D2339" s="216"/>
    </row>
    <row r="2340" ht="15">
      <c r="D2340" s="216"/>
    </row>
    <row r="2341" ht="15">
      <c r="D2341" s="216"/>
    </row>
    <row r="2342" ht="15">
      <c r="D2342" s="216"/>
    </row>
    <row r="2343" ht="15">
      <c r="D2343" s="216"/>
    </row>
    <row r="2344" ht="15">
      <c r="D2344" s="216"/>
    </row>
    <row r="2345" ht="15">
      <c r="D2345" s="216"/>
    </row>
    <row r="2346" ht="15">
      <c r="D2346" s="216"/>
    </row>
    <row r="2347" ht="15">
      <c r="D2347" s="216"/>
    </row>
    <row r="2348" ht="15">
      <c r="D2348" s="216"/>
    </row>
    <row r="2349" ht="15">
      <c r="D2349" s="216"/>
    </row>
    <row r="2350" ht="15">
      <c r="D2350" s="216"/>
    </row>
    <row r="2351" ht="15">
      <c r="D2351" s="216"/>
    </row>
    <row r="2352" ht="15">
      <c r="D2352" s="216"/>
    </row>
    <row r="2353" ht="15">
      <c r="D2353" s="216"/>
    </row>
    <row r="2354" ht="15">
      <c r="D2354" s="216"/>
    </row>
    <row r="2355" ht="15">
      <c r="D2355" s="216"/>
    </row>
    <row r="2356" ht="15">
      <c r="D2356" s="216"/>
    </row>
    <row r="2357" ht="15">
      <c r="D2357" s="216"/>
    </row>
    <row r="2358" ht="15">
      <c r="D2358" s="216"/>
    </row>
    <row r="2359" ht="15">
      <c r="D2359" s="216"/>
    </row>
    <row r="2360" ht="15">
      <c r="D2360" s="216"/>
    </row>
    <row r="2361" ht="15">
      <c r="D2361" s="216"/>
    </row>
    <row r="2362" ht="15">
      <c r="D2362" s="216"/>
    </row>
    <row r="2363" ht="15">
      <c r="D2363" s="216"/>
    </row>
    <row r="2364" ht="15">
      <c r="D2364" s="216"/>
    </row>
    <row r="2365" ht="15">
      <c r="D2365" s="216"/>
    </row>
    <row r="2366" ht="15">
      <c r="D2366" s="216"/>
    </row>
    <row r="2367" ht="15">
      <c r="D2367" s="216"/>
    </row>
    <row r="2368" ht="15">
      <c r="D2368" s="216"/>
    </row>
    <row r="2369" ht="15">
      <c r="D2369" s="216"/>
    </row>
    <row r="2370" ht="15">
      <c r="D2370" s="216"/>
    </row>
    <row r="2371" ht="15">
      <c r="D2371" s="216"/>
    </row>
    <row r="2372" ht="15">
      <c r="D2372" s="216"/>
    </row>
    <row r="2373" ht="15">
      <c r="D2373" s="216"/>
    </row>
    <row r="2374" ht="15">
      <c r="D2374" s="216"/>
    </row>
    <row r="2375" ht="15">
      <c r="D2375" s="216"/>
    </row>
    <row r="2376" ht="15">
      <c r="D2376" s="216"/>
    </row>
    <row r="2377" ht="15">
      <c r="D2377" s="216"/>
    </row>
    <row r="2378" ht="15">
      <c r="D2378" s="216"/>
    </row>
    <row r="2379" ht="15">
      <c r="D2379" s="216"/>
    </row>
    <row r="2380" ht="15">
      <c r="D2380" s="216"/>
    </row>
    <row r="2381" ht="15">
      <c r="D2381" s="216"/>
    </row>
    <row r="2382" ht="15">
      <c r="D2382" s="216"/>
    </row>
    <row r="2383" ht="15">
      <c r="D2383" s="216"/>
    </row>
    <row r="2384" ht="15">
      <c r="D2384" s="216"/>
    </row>
    <row r="2385" ht="15">
      <c r="D2385" s="216"/>
    </row>
    <row r="2386" ht="15">
      <c r="D2386" s="216"/>
    </row>
    <row r="2387" ht="15">
      <c r="D2387" s="216"/>
    </row>
    <row r="2388" ht="15">
      <c r="D2388" s="216"/>
    </row>
    <row r="2389" ht="15">
      <c r="D2389" s="216"/>
    </row>
    <row r="2390" ht="15">
      <c r="D2390" s="216"/>
    </row>
    <row r="2391" ht="15">
      <c r="D2391" s="216"/>
    </row>
    <row r="2392" ht="15">
      <c r="D2392" s="216"/>
    </row>
    <row r="2393" ht="15">
      <c r="D2393" s="216"/>
    </row>
    <row r="2394" ht="15">
      <c r="D2394" s="216"/>
    </row>
    <row r="2395" ht="15">
      <c r="D2395" s="216"/>
    </row>
    <row r="2396" ht="15">
      <c r="D2396" s="216"/>
    </row>
    <row r="2397" ht="15">
      <c r="D2397" s="216"/>
    </row>
    <row r="2398" ht="15">
      <c r="D2398" s="216"/>
    </row>
    <row r="2399" ht="15">
      <c r="D2399" s="216"/>
    </row>
    <row r="2400" ht="15">
      <c r="D2400" s="216"/>
    </row>
    <row r="2401" ht="15">
      <c r="D2401" s="216"/>
    </row>
    <row r="2402" ht="15">
      <c r="D2402" s="216"/>
    </row>
    <row r="2403" ht="15">
      <c r="D2403" s="216"/>
    </row>
    <row r="2404" ht="15">
      <c r="D2404" s="216"/>
    </row>
    <row r="2405" ht="15">
      <c r="D2405" s="216"/>
    </row>
    <row r="2406" ht="15">
      <c r="D2406" s="216"/>
    </row>
    <row r="2407" ht="15">
      <c r="D2407" s="216"/>
    </row>
    <row r="2408" ht="15">
      <c r="D2408" s="216"/>
    </row>
    <row r="2409" ht="15">
      <c r="D2409" s="216"/>
    </row>
    <row r="2410" ht="15">
      <c r="D2410" s="216"/>
    </row>
    <row r="2411" ht="15">
      <c r="D2411" s="216"/>
    </row>
    <row r="2412" ht="15">
      <c r="D2412" s="216"/>
    </row>
    <row r="2413" ht="15">
      <c r="D2413" s="216"/>
    </row>
    <row r="2414" ht="15">
      <c r="D2414" s="216"/>
    </row>
    <row r="2415" ht="15">
      <c r="D2415" s="216"/>
    </row>
    <row r="2416" ht="15">
      <c r="D2416" s="216"/>
    </row>
    <row r="2417" ht="15">
      <c r="D2417" s="216"/>
    </row>
    <row r="2418" ht="15">
      <c r="D2418" s="216"/>
    </row>
    <row r="2419" ht="15">
      <c r="D2419" s="216"/>
    </row>
    <row r="2420" ht="15">
      <c r="D2420" s="216"/>
    </row>
    <row r="2421" ht="15">
      <c r="D2421" s="216"/>
    </row>
    <row r="2422" ht="15">
      <c r="D2422" s="216"/>
    </row>
    <row r="2423" ht="15">
      <c r="D2423" s="216"/>
    </row>
    <row r="2424" ht="15">
      <c r="D2424" s="216"/>
    </row>
    <row r="2425" ht="15">
      <c r="D2425" s="216"/>
    </row>
    <row r="2426" ht="15">
      <c r="D2426" s="216"/>
    </row>
    <row r="2427" ht="15">
      <c r="D2427" s="216"/>
    </row>
    <row r="2428" ht="15">
      <c r="D2428" s="216"/>
    </row>
    <row r="2429" ht="15">
      <c r="D2429" s="216"/>
    </row>
    <row r="2430" ht="15">
      <c r="D2430" s="216"/>
    </row>
    <row r="2431" ht="15">
      <c r="D2431" s="216"/>
    </row>
    <row r="2432" ht="15">
      <c r="D2432" s="216"/>
    </row>
    <row r="2433" ht="15">
      <c r="D2433" s="216"/>
    </row>
    <row r="2434" ht="15">
      <c r="D2434" s="216"/>
    </row>
    <row r="2435" ht="15">
      <c r="D2435" s="216"/>
    </row>
    <row r="2436" ht="15">
      <c r="D2436" s="216"/>
    </row>
    <row r="2437" ht="15">
      <c r="D2437" s="216"/>
    </row>
    <row r="2438" ht="15">
      <c r="D2438" s="216"/>
    </row>
    <row r="2439" ht="15">
      <c r="D2439" s="216"/>
    </row>
    <row r="2440" ht="15">
      <c r="D2440" s="216"/>
    </row>
    <row r="2441" ht="15">
      <c r="D2441" s="216"/>
    </row>
    <row r="2442" ht="15">
      <c r="D2442" s="216"/>
    </row>
    <row r="2443" ht="15">
      <c r="D2443" s="216"/>
    </row>
    <row r="2444" ht="15">
      <c r="D2444" s="216"/>
    </row>
    <row r="2445" ht="15">
      <c r="D2445" s="216"/>
    </row>
    <row r="2446" ht="15">
      <c r="D2446" s="216"/>
    </row>
    <row r="2447" ht="15">
      <c r="D2447" s="216"/>
    </row>
    <row r="2448" ht="15">
      <c r="D2448" s="216"/>
    </row>
    <row r="2449" ht="15">
      <c r="D2449" s="216"/>
    </row>
    <row r="2450" ht="15">
      <c r="D2450" s="216"/>
    </row>
    <row r="2451" ht="15">
      <c r="D2451" s="216"/>
    </row>
    <row r="2452" ht="15">
      <c r="D2452" s="216"/>
    </row>
    <row r="2453" ht="15">
      <c r="D2453" s="216"/>
    </row>
    <row r="2454" ht="15">
      <c r="D2454" s="216"/>
    </row>
    <row r="2455" ht="15">
      <c r="D2455" s="216"/>
    </row>
    <row r="2456" ht="15">
      <c r="D2456" s="216"/>
    </row>
    <row r="2457" ht="15">
      <c r="D2457" s="216"/>
    </row>
    <row r="2458" ht="15">
      <c r="D2458" s="216"/>
    </row>
    <row r="2459" ht="15">
      <c r="D2459" s="216"/>
    </row>
    <row r="2460" ht="15">
      <c r="D2460" s="216"/>
    </row>
    <row r="2461" ht="15">
      <c r="D2461" s="216"/>
    </row>
    <row r="2462" ht="15">
      <c r="D2462" s="216"/>
    </row>
    <row r="2463" ht="15">
      <c r="D2463" s="216"/>
    </row>
    <row r="2464" ht="15">
      <c r="D2464" s="216"/>
    </row>
    <row r="2465" ht="15">
      <c r="D2465" s="216"/>
    </row>
    <row r="2466" ht="15">
      <c r="D2466" s="216"/>
    </row>
    <row r="2467" ht="15">
      <c r="D2467" s="216"/>
    </row>
    <row r="2468" ht="15">
      <c r="D2468" s="216"/>
    </row>
    <row r="2469" ht="15">
      <c r="D2469" s="216"/>
    </row>
    <row r="2470" ht="15">
      <c r="D2470" s="216"/>
    </row>
    <row r="2471" ht="15">
      <c r="D2471" s="216"/>
    </row>
    <row r="2472" ht="15">
      <c r="D2472" s="216"/>
    </row>
    <row r="2473" ht="15">
      <c r="D2473" s="216"/>
    </row>
    <row r="2474" ht="15">
      <c r="D2474" s="216"/>
    </row>
    <row r="2475" ht="15">
      <c r="D2475" s="216"/>
    </row>
    <row r="2476" ht="15">
      <c r="D2476" s="216"/>
    </row>
    <row r="2477" ht="15">
      <c r="D2477" s="216"/>
    </row>
    <row r="2478" ht="15">
      <c r="D2478" s="216"/>
    </row>
    <row r="2479" ht="15">
      <c r="D2479" s="216"/>
    </row>
    <row r="2480" ht="15">
      <c r="D2480" s="216"/>
    </row>
    <row r="2481" ht="15">
      <c r="D2481" s="216"/>
    </row>
    <row r="2482" ht="15">
      <c r="D2482" s="216"/>
    </row>
    <row r="2483" ht="15">
      <c r="D2483" s="216"/>
    </row>
    <row r="2484" ht="15">
      <c r="D2484" s="216"/>
    </row>
    <row r="2485" ht="15">
      <c r="D2485" s="216"/>
    </row>
    <row r="2486" ht="15">
      <c r="D2486" s="216"/>
    </row>
    <row r="2487" ht="15">
      <c r="D2487" s="216"/>
    </row>
    <row r="2488" ht="15">
      <c r="D2488" s="216"/>
    </row>
    <row r="2489" ht="15">
      <c r="D2489" s="216"/>
    </row>
    <row r="2490" ht="15">
      <c r="D2490" s="216"/>
    </row>
    <row r="2491" ht="15">
      <c r="D2491" s="216"/>
    </row>
    <row r="2492" ht="15">
      <c r="D2492" s="216"/>
    </row>
    <row r="2493" ht="15">
      <c r="D2493" s="216"/>
    </row>
    <row r="2494" ht="15">
      <c r="D2494" s="216"/>
    </row>
    <row r="2495" ht="15">
      <c r="D2495" s="216"/>
    </row>
    <row r="2496" ht="15">
      <c r="D2496" s="216"/>
    </row>
    <row r="2497" ht="15">
      <c r="D2497" s="216"/>
    </row>
    <row r="2498" ht="15">
      <c r="D2498" s="216"/>
    </row>
    <row r="2499" ht="15">
      <c r="D2499" s="216"/>
    </row>
    <row r="2500" ht="15">
      <c r="D2500" s="216"/>
    </row>
    <row r="2501" ht="15">
      <c r="D2501" s="216"/>
    </row>
    <row r="2502" ht="15">
      <c r="D2502" s="216"/>
    </row>
    <row r="2503" ht="15">
      <c r="D2503" s="216"/>
    </row>
    <row r="2504" ht="15">
      <c r="D2504" s="216"/>
    </row>
    <row r="2505" ht="15">
      <c r="D2505" s="216"/>
    </row>
    <row r="2506" ht="15">
      <c r="D2506" s="216"/>
    </row>
    <row r="2507" ht="15">
      <c r="D2507" s="216"/>
    </row>
    <row r="2508" ht="15">
      <c r="D2508" s="216"/>
    </row>
    <row r="2509" ht="15">
      <c r="D2509" s="216"/>
    </row>
    <row r="2510" ht="15">
      <c r="D2510" s="216"/>
    </row>
    <row r="2511" ht="15">
      <c r="D2511" s="216"/>
    </row>
    <row r="2512" ht="15">
      <c r="D2512" s="216"/>
    </row>
    <row r="2513" ht="15">
      <c r="D2513" s="216"/>
    </row>
    <row r="2514" ht="15">
      <c r="D2514" s="216"/>
    </row>
    <row r="2515" ht="15">
      <c r="D2515" s="216"/>
    </row>
    <row r="2516" ht="15">
      <c r="D2516" s="216"/>
    </row>
    <row r="2517" ht="15">
      <c r="D2517" s="216"/>
    </row>
    <row r="2518" ht="15">
      <c r="D2518" s="216"/>
    </row>
    <row r="2519" ht="15">
      <c r="D2519" s="216"/>
    </row>
    <row r="2520" ht="15">
      <c r="D2520" s="216"/>
    </row>
    <row r="2521" ht="15">
      <c r="D2521" s="216"/>
    </row>
    <row r="2522" ht="15">
      <c r="D2522" s="216"/>
    </row>
    <row r="2523" ht="15">
      <c r="D2523" s="216"/>
    </row>
    <row r="2524" ht="15">
      <c r="D2524" s="216"/>
    </row>
    <row r="2525" ht="15">
      <c r="D2525" s="216"/>
    </row>
    <row r="2526" ht="15">
      <c r="D2526" s="216"/>
    </row>
    <row r="2527" ht="15">
      <c r="D2527" s="216"/>
    </row>
    <row r="2528" ht="15">
      <c r="D2528" s="216"/>
    </row>
    <row r="2529" ht="15">
      <c r="D2529" s="216"/>
    </row>
    <row r="2530" ht="15">
      <c r="D2530" s="216"/>
    </row>
    <row r="2531" ht="15">
      <c r="D2531" s="216"/>
    </row>
    <row r="2532" ht="15">
      <c r="D2532" s="216"/>
    </row>
    <row r="2533" ht="15">
      <c r="D2533" s="216"/>
    </row>
    <row r="2534" ht="15">
      <c r="D2534" s="216"/>
    </row>
    <row r="2535" ht="15">
      <c r="D2535" s="216"/>
    </row>
    <row r="2536" ht="15">
      <c r="D2536" s="216"/>
    </row>
    <row r="2537" ht="15">
      <c r="D2537" s="216"/>
    </row>
    <row r="2538" ht="15">
      <c r="D2538" s="216"/>
    </row>
    <row r="2539" ht="15">
      <c r="D2539" s="216"/>
    </row>
    <row r="2540" ht="15">
      <c r="D2540" s="216"/>
    </row>
    <row r="2541" ht="15">
      <c r="D2541" s="216"/>
    </row>
    <row r="2542" ht="15">
      <c r="D2542" s="216"/>
    </row>
    <row r="2543" ht="15">
      <c r="D2543" s="216"/>
    </row>
    <row r="2544" ht="15">
      <c r="D2544" s="216"/>
    </row>
    <row r="2545" ht="15">
      <c r="D2545" s="216"/>
    </row>
    <row r="2546" ht="15">
      <c r="D2546" s="216"/>
    </row>
    <row r="2547" ht="15">
      <c r="D2547" s="216"/>
    </row>
    <row r="2548" ht="15">
      <c r="D2548" s="216"/>
    </row>
    <row r="2549" ht="15">
      <c r="D2549" s="216"/>
    </row>
    <row r="2550" ht="15">
      <c r="D2550" s="216"/>
    </row>
    <row r="2551" ht="15">
      <c r="D2551" s="216"/>
    </row>
    <row r="2552" ht="15">
      <c r="D2552" s="216"/>
    </row>
    <row r="2553" ht="15">
      <c r="D2553" s="216"/>
    </row>
    <row r="2554" ht="15">
      <c r="D2554" s="216"/>
    </row>
    <row r="2555" ht="15">
      <c r="D2555" s="216"/>
    </row>
    <row r="2556" ht="15">
      <c r="D2556" s="216"/>
    </row>
    <row r="2557" ht="15">
      <c r="D2557" s="216"/>
    </row>
    <row r="2558" ht="15">
      <c r="D2558" s="216"/>
    </row>
    <row r="2559" ht="15">
      <c r="D2559" s="216"/>
    </row>
    <row r="2560" ht="15">
      <c r="D2560" s="216"/>
    </row>
    <row r="2561" ht="15">
      <c r="D2561" s="216"/>
    </row>
    <row r="2562" ht="15">
      <c r="D2562" s="216"/>
    </row>
    <row r="2563" ht="15">
      <c r="D2563" s="216"/>
    </row>
    <row r="2564" ht="15">
      <c r="D2564" s="216"/>
    </row>
    <row r="2565" ht="15">
      <c r="D2565" s="216"/>
    </row>
    <row r="2566" ht="15">
      <c r="D2566" s="216"/>
    </row>
    <row r="2567" ht="15">
      <c r="D2567" s="216"/>
    </row>
    <row r="2568" ht="15">
      <c r="D2568" s="216"/>
    </row>
    <row r="2569" ht="15">
      <c r="D2569" s="216"/>
    </row>
    <row r="2570" ht="15">
      <c r="D2570" s="216"/>
    </row>
    <row r="2571" ht="15">
      <c r="D2571" s="216"/>
    </row>
    <row r="2572" ht="15">
      <c r="D2572" s="216"/>
    </row>
    <row r="2573" ht="15">
      <c r="D2573" s="216"/>
    </row>
    <row r="2574" ht="15">
      <c r="D2574" s="216"/>
    </row>
    <row r="2575" ht="15">
      <c r="D2575" s="216"/>
    </row>
    <row r="2576" ht="15">
      <c r="D2576" s="216"/>
    </row>
    <row r="2577" ht="15">
      <c r="D2577" s="216"/>
    </row>
    <row r="2578" ht="15">
      <c r="D2578" s="216"/>
    </row>
    <row r="2579" ht="15">
      <c r="D2579" s="216"/>
    </row>
    <row r="2580" ht="15">
      <c r="D2580" s="216"/>
    </row>
    <row r="2581" ht="15">
      <c r="D2581" s="216"/>
    </row>
    <row r="2582" ht="15">
      <c r="D2582" s="216"/>
    </row>
    <row r="2583" ht="15">
      <c r="D2583" s="216"/>
    </row>
    <row r="2584" ht="15">
      <c r="D2584" s="216"/>
    </row>
    <row r="2585" ht="15">
      <c r="D2585" s="216"/>
    </row>
    <row r="2586" ht="15">
      <c r="D2586" s="216"/>
    </row>
    <row r="2587" ht="15">
      <c r="D2587" s="216"/>
    </row>
    <row r="2588" ht="15">
      <c r="D2588" s="216"/>
    </row>
    <row r="2589" ht="15">
      <c r="D2589" s="216"/>
    </row>
    <row r="2590" ht="15">
      <c r="D2590" s="216"/>
    </row>
    <row r="2591" ht="15">
      <c r="D2591" s="216"/>
    </row>
    <row r="2592" ht="15">
      <c r="D2592" s="216"/>
    </row>
    <row r="2593" ht="15">
      <c r="D2593" s="216"/>
    </row>
    <row r="2594" ht="15">
      <c r="D2594" s="216"/>
    </row>
    <row r="2595" ht="15">
      <c r="D2595" s="216"/>
    </row>
    <row r="2596" ht="15">
      <c r="D2596" s="216"/>
    </row>
    <row r="2597" ht="15">
      <c r="D2597" s="216"/>
    </row>
    <row r="2598" ht="15">
      <c r="D2598" s="216"/>
    </row>
    <row r="2599" ht="15">
      <c r="D2599" s="216"/>
    </row>
    <row r="2600" ht="15">
      <c r="D2600" s="216"/>
    </row>
    <row r="2601" ht="15">
      <c r="D2601" s="216"/>
    </row>
    <row r="2602" ht="15">
      <c r="D2602" s="216"/>
    </row>
    <row r="2603" ht="15">
      <c r="D2603" s="216"/>
    </row>
    <row r="2604" ht="15">
      <c r="D2604" s="216"/>
    </row>
    <row r="2605" ht="15">
      <c r="D2605" s="216"/>
    </row>
    <row r="2606" ht="15">
      <c r="D2606" s="216"/>
    </row>
    <row r="2607" ht="15">
      <c r="D2607" s="216"/>
    </row>
    <row r="2608" ht="15">
      <c r="D2608" s="216"/>
    </row>
    <row r="2609" ht="15">
      <c r="D2609" s="216"/>
    </row>
    <row r="2610" ht="15">
      <c r="D2610" s="216"/>
    </row>
    <row r="2611" ht="15">
      <c r="D2611" s="216"/>
    </row>
    <row r="2612" ht="15">
      <c r="D2612" s="216"/>
    </row>
    <row r="2613" ht="15">
      <c r="D2613" s="216"/>
    </row>
    <row r="2614" ht="15">
      <c r="D2614" s="216"/>
    </row>
    <row r="2615" ht="15">
      <c r="D2615" s="216"/>
    </row>
    <row r="2616" ht="15">
      <c r="D2616" s="216"/>
    </row>
    <row r="2617" ht="15">
      <c r="D2617" s="216"/>
    </row>
    <row r="2618" ht="15">
      <c r="D2618" s="216"/>
    </row>
    <row r="2619" ht="15">
      <c r="D2619" s="216"/>
    </row>
    <row r="2620" ht="15">
      <c r="D2620" s="216"/>
    </row>
    <row r="2621" ht="15">
      <c r="D2621" s="216"/>
    </row>
    <row r="2622" ht="15">
      <c r="D2622" s="216"/>
    </row>
    <row r="2623" ht="15">
      <c r="D2623" s="216"/>
    </row>
    <row r="2624" ht="15">
      <c r="D2624" s="216"/>
    </row>
    <row r="2625" ht="15">
      <c r="D2625" s="216"/>
    </row>
    <row r="2626" ht="15">
      <c r="D2626" s="216"/>
    </row>
    <row r="2627" ht="15">
      <c r="D2627" s="216"/>
    </row>
    <row r="2628" ht="15">
      <c r="D2628" s="216"/>
    </row>
    <row r="2629" ht="15">
      <c r="D2629" s="216"/>
    </row>
    <row r="2630" ht="15">
      <c r="D2630" s="216"/>
    </row>
    <row r="2631" ht="15">
      <c r="D2631" s="216"/>
    </row>
    <row r="2632" ht="15">
      <c r="D2632" s="216"/>
    </row>
    <row r="2633" ht="15">
      <c r="D2633" s="216"/>
    </row>
    <row r="2634" ht="15">
      <c r="D2634" s="216"/>
    </row>
    <row r="2635" ht="15">
      <c r="D2635" s="216"/>
    </row>
    <row r="2636" ht="15">
      <c r="D2636" s="216"/>
    </row>
    <row r="2637" ht="15">
      <c r="D2637" s="216"/>
    </row>
    <row r="2638" ht="15">
      <c r="D2638" s="216"/>
    </row>
    <row r="2639" ht="15">
      <c r="D2639" s="216"/>
    </row>
    <row r="2640" ht="15">
      <c r="D2640" s="216"/>
    </row>
    <row r="2641" ht="15">
      <c r="D2641" s="216"/>
    </row>
    <row r="2642" ht="15">
      <c r="D2642" s="216"/>
    </row>
    <row r="2643" ht="15">
      <c r="D2643" s="216"/>
    </row>
    <row r="2644" ht="15">
      <c r="D2644" s="216"/>
    </row>
    <row r="2645" ht="15">
      <c r="D2645" s="216"/>
    </row>
    <row r="2646" ht="15">
      <c r="D2646" s="216"/>
    </row>
    <row r="2647" ht="15">
      <c r="D2647" s="216"/>
    </row>
    <row r="2648" ht="15">
      <c r="D2648" s="216"/>
    </row>
    <row r="2649" ht="15">
      <c r="D2649" s="216"/>
    </row>
    <row r="2650" ht="15">
      <c r="D2650" s="216"/>
    </row>
    <row r="2651" ht="15">
      <c r="D2651" s="216"/>
    </row>
    <row r="2652" ht="15">
      <c r="D2652" s="216"/>
    </row>
    <row r="2653" ht="15">
      <c r="D2653" s="216"/>
    </row>
    <row r="2654" ht="15">
      <c r="D2654" s="216"/>
    </row>
    <row r="2655" ht="15">
      <c r="D2655" s="216"/>
    </row>
    <row r="2656" ht="15">
      <c r="D2656" s="216"/>
    </row>
    <row r="2657" ht="15">
      <c r="D2657" s="216"/>
    </row>
    <row r="2658" ht="15">
      <c r="D2658" s="216"/>
    </row>
    <row r="2659" ht="15">
      <c r="D2659" s="216"/>
    </row>
    <row r="2660" ht="15">
      <c r="D2660" s="216"/>
    </row>
    <row r="2661" ht="15">
      <c r="D2661" s="216"/>
    </row>
    <row r="2662" ht="15">
      <c r="D2662" s="216"/>
    </row>
    <row r="2663" ht="15">
      <c r="D2663" s="216"/>
    </row>
    <row r="2664" ht="15">
      <c r="D2664" s="216"/>
    </row>
    <row r="2665" ht="15">
      <c r="D2665" s="216"/>
    </row>
    <row r="2666" ht="15">
      <c r="D2666" s="216"/>
    </row>
    <row r="2667" ht="15">
      <c r="D2667" s="216"/>
    </row>
    <row r="2668" ht="15">
      <c r="D2668" s="216"/>
    </row>
    <row r="2669" ht="15">
      <c r="D2669" s="216"/>
    </row>
    <row r="2670" ht="15">
      <c r="D2670" s="216"/>
    </row>
    <row r="2671" ht="15">
      <c r="D2671" s="216"/>
    </row>
    <row r="2672" ht="15">
      <c r="D2672" s="216"/>
    </row>
    <row r="2673" ht="15">
      <c r="D2673" s="216"/>
    </row>
    <row r="2674" ht="15">
      <c r="D2674" s="216"/>
    </row>
    <row r="2675" ht="15">
      <c r="D2675" s="216"/>
    </row>
    <row r="2676" ht="15">
      <c r="D2676" s="216"/>
    </row>
    <row r="2677" ht="15">
      <c r="D2677" s="216"/>
    </row>
    <row r="2678" ht="15">
      <c r="D2678" s="216"/>
    </row>
    <row r="2679" ht="15">
      <c r="D2679" s="216"/>
    </row>
    <row r="2680" ht="15">
      <c r="D2680" s="216"/>
    </row>
    <row r="2681" ht="15">
      <c r="D2681" s="216"/>
    </row>
    <row r="2682" ht="15">
      <c r="D2682" s="216"/>
    </row>
    <row r="2683" ht="15">
      <c r="D2683" s="216"/>
    </row>
    <row r="2684" ht="15">
      <c r="D2684" s="216"/>
    </row>
    <row r="2685" ht="15">
      <c r="D2685" s="216"/>
    </row>
    <row r="2686" ht="15">
      <c r="D2686" s="216"/>
    </row>
    <row r="2687" ht="15">
      <c r="D2687" s="216"/>
    </row>
    <row r="2688" ht="15">
      <c r="D2688" s="216"/>
    </row>
    <row r="2689" ht="15">
      <c r="D2689" s="216"/>
    </row>
    <row r="2690" ht="15">
      <c r="D2690" s="216"/>
    </row>
    <row r="2691" ht="15">
      <c r="D2691" s="216"/>
    </row>
    <row r="2692" ht="15">
      <c r="D2692" s="216"/>
    </row>
    <row r="2693" ht="15">
      <c r="D2693" s="216"/>
    </row>
    <row r="2694" ht="15">
      <c r="D2694" s="216"/>
    </row>
    <row r="2695" ht="15">
      <c r="D2695" s="216"/>
    </row>
    <row r="2696" ht="15">
      <c r="D2696" s="216"/>
    </row>
    <row r="2697" ht="15">
      <c r="D2697" s="216"/>
    </row>
    <row r="2698" ht="15">
      <c r="D2698" s="216"/>
    </row>
    <row r="2699" ht="15">
      <c r="D2699" s="216"/>
    </row>
    <row r="2700" ht="15">
      <c r="D2700" s="216"/>
    </row>
    <row r="2701" ht="15">
      <c r="D2701" s="216"/>
    </row>
    <row r="2702" ht="15">
      <c r="D2702" s="216"/>
    </row>
    <row r="2703" ht="15">
      <c r="D2703" s="216"/>
    </row>
    <row r="2704" ht="15">
      <c r="D2704" s="216"/>
    </row>
    <row r="2705" ht="15">
      <c r="D2705" s="216"/>
    </row>
    <row r="2706" ht="15">
      <c r="D2706" s="216"/>
    </row>
    <row r="2707" ht="15">
      <c r="D2707" s="216"/>
    </row>
    <row r="2708" ht="15">
      <c r="D2708" s="216"/>
    </row>
    <row r="2709" ht="15">
      <c r="D2709" s="216"/>
    </row>
    <row r="2710" ht="15">
      <c r="D2710" s="216"/>
    </row>
    <row r="2711" ht="15">
      <c r="D2711" s="216"/>
    </row>
    <row r="2712" ht="15">
      <c r="D2712" s="216"/>
    </row>
    <row r="2713" ht="15">
      <c r="D2713" s="216"/>
    </row>
    <row r="2714" ht="15">
      <c r="D2714" s="216"/>
    </row>
    <row r="2715" ht="15">
      <c r="D2715" s="216"/>
    </row>
    <row r="2716" ht="15">
      <c r="D2716" s="216"/>
    </row>
    <row r="2717" ht="15">
      <c r="D2717" s="216"/>
    </row>
    <row r="2718" ht="15">
      <c r="D2718" s="216"/>
    </row>
    <row r="2719" ht="15">
      <c r="D2719" s="216"/>
    </row>
    <row r="2720" ht="15">
      <c r="D2720" s="216"/>
    </row>
    <row r="2721" ht="15">
      <c r="D2721" s="216"/>
    </row>
    <row r="2722" ht="15">
      <c r="D2722" s="216"/>
    </row>
    <row r="2723" ht="15">
      <c r="D2723" s="216"/>
    </row>
    <row r="2724" ht="15">
      <c r="D2724" s="216"/>
    </row>
    <row r="2725" ht="15">
      <c r="D2725" s="216"/>
    </row>
    <row r="2726" ht="15">
      <c r="D2726" s="216"/>
    </row>
    <row r="2727" ht="15">
      <c r="D2727" s="216"/>
    </row>
    <row r="2728" ht="15">
      <c r="D2728" s="216"/>
    </row>
    <row r="2729" ht="15">
      <c r="D2729" s="216"/>
    </row>
    <row r="2730" ht="15">
      <c r="D2730" s="216"/>
    </row>
    <row r="2731" ht="15">
      <c r="D2731" s="216"/>
    </row>
    <row r="2732" ht="15">
      <c r="D2732" s="216"/>
    </row>
    <row r="2733" ht="15">
      <c r="D2733" s="216"/>
    </row>
    <row r="2734" ht="15">
      <c r="D2734" s="216"/>
    </row>
    <row r="2735" ht="15">
      <c r="D2735" s="216"/>
    </row>
    <row r="2736" ht="15">
      <c r="D2736" s="216"/>
    </row>
    <row r="2737" ht="15">
      <c r="D2737" s="216"/>
    </row>
    <row r="2738" ht="15">
      <c r="D2738" s="216"/>
    </row>
    <row r="2739" ht="15">
      <c r="D2739" s="216"/>
    </row>
    <row r="2740" ht="15">
      <c r="D2740" s="216"/>
    </row>
    <row r="2741" ht="15">
      <c r="D2741" s="216"/>
    </row>
    <row r="2742" ht="15">
      <c r="D2742" s="216"/>
    </row>
    <row r="2743" ht="15">
      <c r="D2743" s="216"/>
    </row>
    <row r="2744" ht="15">
      <c r="D2744" s="216"/>
    </row>
    <row r="2745" ht="15">
      <c r="D2745" s="216"/>
    </row>
    <row r="2746" ht="15">
      <c r="D2746" s="216"/>
    </row>
    <row r="2747" ht="15">
      <c r="D2747" s="216"/>
    </row>
    <row r="2748" ht="15">
      <c r="D2748" s="216"/>
    </row>
    <row r="2749" ht="15">
      <c r="D2749" s="216"/>
    </row>
    <row r="2750" ht="15">
      <c r="D2750" s="216"/>
    </row>
    <row r="2751" ht="15">
      <c r="D2751" s="216"/>
    </row>
    <row r="2752" ht="15">
      <c r="D2752" s="216"/>
    </row>
    <row r="2753" ht="15">
      <c r="D2753" s="216"/>
    </row>
    <row r="2754" ht="15">
      <c r="D2754" s="216"/>
    </row>
    <row r="2755" ht="15">
      <c r="D2755" s="216"/>
    </row>
    <row r="2756" ht="15">
      <c r="D2756" s="216"/>
    </row>
    <row r="2757" ht="15">
      <c r="D2757" s="216"/>
    </row>
    <row r="2758" ht="15">
      <c r="D2758" s="216"/>
    </row>
    <row r="2759" ht="15">
      <c r="D2759" s="216"/>
    </row>
    <row r="2760" ht="15">
      <c r="D2760" s="216"/>
    </row>
    <row r="2761" ht="15">
      <c r="D2761" s="216"/>
    </row>
    <row r="2762" ht="15">
      <c r="D2762" s="216"/>
    </row>
    <row r="2763" ht="15">
      <c r="D2763" s="216"/>
    </row>
    <row r="2764" ht="15">
      <c r="D2764" s="216"/>
    </row>
    <row r="2765" ht="15">
      <c r="D2765" s="216"/>
    </row>
    <row r="2766" ht="15">
      <c r="D2766" s="216"/>
    </row>
    <row r="2767" ht="15">
      <c r="D2767" s="216"/>
    </row>
    <row r="2768" ht="15">
      <c r="D2768" s="216"/>
    </row>
    <row r="2769" ht="15">
      <c r="D2769" s="216"/>
    </row>
    <row r="2770" ht="15">
      <c r="D2770" s="216"/>
    </row>
    <row r="2771" ht="15">
      <c r="D2771" s="216"/>
    </row>
    <row r="2772" ht="15">
      <c r="D2772" s="216"/>
    </row>
    <row r="2773" ht="15">
      <c r="D2773" s="216"/>
    </row>
    <row r="2774" ht="15">
      <c r="D2774" s="216"/>
    </row>
    <row r="2775" ht="15">
      <c r="D2775" s="216"/>
    </row>
    <row r="2776" ht="15">
      <c r="D2776" s="216"/>
    </row>
    <row r="2777" ht="15">
      <c r="D2777" s="216"/>
    </row>
    <row r="2778" ht="15">
      <c r="D2778" s="216"/>
    </row>
    <row r="2779" ht="15">
      <c r="D2779" s="216"/>
    </row>
    <row r="2780" ht="15">
      <c r="D2780" s="216"/>
    </row>
    <row r="2781" ht="15">
      <c r="D2781" s="216"/>
    </row>
    <row r="2782" ht="15">
      <c r="D2782" s="216"/>
    </row>
    <row r="2783" ht="15">
      <c r="D2783" s="216"/>
    </row>
    <row r="2784" ht="15">
      <c r="D2784" s="216"/>
    </row>
    <row r="2785" ht="15">
      <c r="D2785" s="216"/>
    </row>
    <row r="2786" ht="15">
      <c r="D2786" s="216"/>
    </row>
    <row r="2787" ht="15">
      <c r="D2787" s="216"/>
    </row>
    <row r="2788" ht="15">
      <c r="D2788" s="216"/>
    </row>
    <row r="2789" ht="15">
      <c r="D2789" s="216"/>
    </row>
    <row r="2790" ht="15">
      <c r="D2790" s="216"/>
    </row>
    <row r="2791" ht="15">
      <c r="D2791" s="216"/>
    </row>
    <row r="2792" ht="15">
      <c r="D2792" s="216"/>
    </row>
    <row r="2793" ht="15">
      <c r="D2793" s="216"/>
    </row>
    <row r="2794" ht="15">
      <c r="D2794" s="216"/>
    </row>
    <row r="2795" ht="15">
      <c r="D2795" s="216"/>
    </row>
    <row r="2796" ht="15">
      <c r="D2796" s="216"/>
    </row>
    <row r="2797" ht="15">
      <c r="D2797" s="216"/>
    </row>
    <row r="2798" ht="15">
      <c r="D2798" s="216"/>
    </row>
    <row r="2799" ht="15">
      <c r="D2799" s="216"/>
    </row>
    <row r="2800" ht="15">
      <c r="D2800" s="216"/>
    </row>
    <row r="2801" ht="15">
      <c r="D2801" s="216"/>
    </row>
    <row r="2802" ht="15">
      <c r="D2802" s="216"/>
    </row>
    <row r="2803" ht="15">
      <c r="D2803" s="216"/>
    </row>
    <row r="2804" ht="15">
      <c r="D2804" s="216"/>
    </row>
    <row r="2805" ht="15">
      <c r="D2805" s="216"/>
    </row>
    <row r="2806" ht="15">
      <c r="D2806" s="216"/>
    </row>
    <row r="2807" ht="15">
      <c r="D2807" s="216"/>
    </row>
    <row r="2808" ht="15">
      <c r="D2808" s="216"/>
    </row>
    <row r="2809" ht="15">
      <c r="D2809" s="216"/>
    </row>
    <row r="2810" ht="15">
      <c r="D2810" s="216"/>
    </row>
    <row r="2811" ht="15">
      <c r="D2811" s="216"/>
    </row>
    <row r="2812" ht="15">
      <c r="D2812" s="216"/>
    </row>
    <row r="2813" ht="15">
      <c r="D2813" s="216"/>
    </row>
    <row r="2814" ht="15">
      <c r="D2814" s="216"/>
    </row>
    <row r="2815" ht="15">
      <c r="D2815" s="216"/>
    </row>
    <row r="2816" ht="15">
      <c r="D2816" s="216"/>
    </row>
    <row r="2817" ht="15">
      <c r="D2817" s="216"/>
    </row>
    <row r="2818" ht="15">
      <c r="D2818" s="216"/>
    </row>
    <row r="2819" ht="15">
      <c r="D2819" s="216"/>
    </row>
    <row r="2820" ht="15">
      <c r="D2820" s="216"/>
    </row>
    <row r="2821" ht="15">
      <c r="D2821" s="216"/>
    </row>
    <row r="2822" ht="15">
      <c r="D2822" s="216"/>
    </row>
    <row r="2823" ht="15">
      <c r="D2823" s="216"/>
    </row>
    <row r="2824" ht="15">
      <c r="D2824" s="216"/>
    </row>
    <row r="2825" ht="15">
      <c r="D2825" s="216"/>
    </row>
    <row r="2826" ht="15">
      <c r="D2826" s="216"/>
    </row>
    <row r="2827" ht="15">
      <c r="D2827" s="216"/>
    </row>
    <row r="2828" ht="15">
      <c r="D2828" s="216"/>
    </row>
    <row r="2829" ht="15">
      <c r="D2829" s="216"/>
    </row>
    <row r="2830" ht="15">
      <c r="D2830" s="216"/>
    </row>
    <row r="2831" ht="15">
      <c r="D2831" s="216"/>
    </row>
    <row r="2832" ht="15">
      <c r="D2832" s="216"/>
    </row>
    <row r="2833" ht="15">
      <c r="D2833" s="216"/>
    </row>
    <row r="2834" ht="15">
      <c r="D2834" s="216"/>
    </row>
    <row r="2835" ht="15">
      <c r="D2835" s="216"/>
    </row>
    <row r="2836" ht="15">
      <c r="D2836" s="216"/>
    </row>
    <row r="2837" ht="15">
      <c r="D2837" s="216"/>
    </row>
    <row r="2838" ht="15">
      <c r="D2838" s="216"/>
    </row>
    <row r="2839" ht="15">
      <c r="D2839" s="216"/>
    </row>
    <row r="2840" ht="15">
      <c r="D2840" s="216"/>
    </row>
    <row r="2841" ht="15">
      <c r="D2841" s="216"/>
    </row>
    <row r="2842" ht="15">
      <c r="D2842" s="216"/>
    </row>
    <row r="2843" ht="15">
      <c r="D2843" s="216"/>
    </row>
    <row r="2844" ht="15">
      <c r="D2844" s="216"/>
    </row>
    <row r="2845" ht="15">
      <c r="D2845" s="216"/>
    </row>
    <row r="2846" ht="15">
      <c r="D2846" s="216"/>
    </row>
    <row r="2847" ht="15">
      <c r="D2847" s="216"/>
    </row>
    <row r="2848" ht="15">
      <c r="D2848" s="216"/>
    </row>
    <row r="2849" ht="15">
      <c r="D2849" s="216"/>
    </row>
    <row r="2850" ht="15">
      <c r="D2850" s="216"/>
    </row>
    <row r="2851" ht="15">
      <c r="D2851" s="216"/>
    </row>
    <row r="2852" ht="15">
      <c r="D2852" s="216"/>
    </row>
    <row r="2853" ht="15">
      <c r="D2853" s="216"/>
    </row>
    <row r="2854" ht="15">
      <c r="D2854" s="216"/>
    </row>
    <row r="2855" ht="15">
      <c r="D2855" s="216"/>
    </row>
    <row r="2856" ht="15">
      <c r="D2856" s="216"/>
    </row>
    <row r="2857" ht="15">
      <c r="D2857" s="216"/>
    </row>
    <row r="2858" ht="15">
      <c r="D2858" s="216"/>
    </row>
    <row r="2859" ht="15">
      <c r="D2859" s="216"/>
    </row>
    <row r="2860" ht="15">
      <c r="D2860" s="216"/>
    </row>
    <row r="2861" ht="15">
      <c r="D2861" s="216"/>
    </row>
    <row r="2862" ht="15">
      <c r="D2862" s="216"/>
    </row>
    <row r="2863" ht="15">
      <c r="D2863" s="216"/>
    </row>
    <row r="2864" ht="15">
      <c r="D2864" s="216"/>
    </row>
    <row r="2865" ht="15">
      <c r="D2865" s="216"/>
    </row>
    <row r="2866" ht="15">
      <c r="D2866" s="216"/>
    </row>
    <row r="2867" ht="15">
      <c r="D2867" s="216"/>
    </row>
    <row r="2868" ht="15">
      <c r="D2868" s="216"/>
    </row>
    <row r="2869" ht="15">
      <c r="D2869" s="216"/>
    </row>
    <row r="2870" ht="15">
      <c r="D2870" s="216"/>
    </row>
    <row r="2871" ht="15">
      <c r="D2871" s="216"/>
    </row>
    <row r="2872" ht="15">
      <c r="D2872" s="216"/>
    </row>
    <row r="2873" ht="15">
      <c r="D2873" s="216"/>
    </row>
    <row r="2874" ht="15">
      <c r="D2874" s="216"/>
    </row>
    <row r="2875" ht="15">
      <c r="D2875" s="216"/>
    </row>
    <row r="2876" ht="15">
      <c r="D2876" s="216"/>
    </row>
    <row r="2877" ht="15">
      <c r="D2877" s="216"/>
    </row>
    <row r="2878" ht="15">
      <c r="D2878" s="216"/>
    </row>
    <row r="2879" ht="15">
      <c r="D2879" s="216"/>
    </row>
    <row r="2880" ht="15">
      <c r="D2880" s="216"/>
    </row>
    <row r="2881" ht="15">
      <c r="D2881" s="216"/>
    </row>
    <row r="2882" ht="15">
      <c r="D2882" s="216"/>
    </row>
    <row r="2883" ht="15">
      <c r="D2883" s="216"/>
    </row>
    <row r="2884" ht="15">
      <c r="D2884" s="216"/>
    </row>
    <row r="2885" ht="15">
      <c r="D2885" s="216"/>
    </row>
    <row r="2886" ht="15">
      <c r="D2886" s="216"/>
    </row>
    <row r="2887" ht="15">
      <c r="D2887" s="216"/>
    </row>
    <row r="2888" ht="15">
      <c r="D2888" s="216"/>
    </row>
    <row r="2889" ht="15">
      <c r="D2889" s="216"/>
    </row>
    <row r="2890" ht="15">
      <c r="D2890" s="216"/>
    </row>
    <row r="2891" ht="15">
      <c r="D2891" s="216"/>
    </row>
    <row r="2892" ht="15">
      <c r="D2892" s="216"/>
    </row>
    <row r="2893" ht="15">
      <c r="D2893" s="216"/>
    </row>
    <row r="2894" ht="15">
      <c r="D2894" s="216"/>
    </row>
    <row r="2895" ht="15">
      <c r="D2895" s="216"/>
    </row>
    <row r="2896" ht="15">
      <c r="D2896" s="216"/>
    </row>
    <row r="2897" ht="15">
      <c r="D2897" s="216"/>
    </row>
    <row r="2898" ht="15">
      <c r="D2898" s="216"/>
    </row>
    <row r="2899" ht="15">
      <c r="D2899" s="216"/>
    </row>
    <row r="2900" ht="15">
      <c r="D2900" s="216"/>
    </row>
    <row r="2901" ht="15">
      <c r="D2901" s="216"/>
    </row>
    <row r="2902" ht="15">
      <c r="D2902" s="216"/>
    </row>
    <row r="2903" ht="15">
      <c r="D2903" s="216"/>
    </row>
    <row r="2904" ht="15">
      <c r="D2904" s="216"/>
    </row>
    <row r="2905" ht="15">
      <c r="D2905" s="216"/>
    </row>
    <row r="2906" ht="15">
      <c r="D2906" s="216"/>
    </row>
    <row r="2907" ht="15">
      <c r="D2907" s="216"/>
    </row>
    <row r="2908" ht="15">
      <c r="D2908" s="216"/>
    </row>
    <row r="2909" ht="15">
      <c r="D2909" s="216"/>
    </row>
    <row r="2910" ht="15">
      <c r="D2910" s="216"/>
    </row>
    <row r="2911" ht="15">
      <c r="D2911" s="216"/>
    </row>
    <row r="2912" ht="15">
      <c r="D2912" s="216"/>
    </row>
    <row r="2913" ht="15">
      <c r="D2913" s="216"/>
    </row>
    <row r="2914" ht="15">
      <c r="D2914" s="216"/>
    </row>
    <row r="2915" ht="15">
      <c r="D2915" s="216"/>
    </row>
    <row r="2916" ht="15">
      <c r="D2916" s="216"/>
    </row>
    <row r="2917" ht="15">
      <c r="D2917" s="216"/>
    </row>
    <row r="2918" ht="15">
      <c r="D2918" s="216"/>
    </row>
    <row r="2919" ht="15">
      <c r="D2919" s="216"/>
    </row>
    <row r="2920" ht="15">
      <c r="D2920" s="216"/>
    </row>
    <row r="2921" ht="15">
      <c r="D2921" s="216"/>
    </row>
    <row r="2922" ht="15">
      <c r="D2922" s="216"/>
    </row>
    <row r="2923" ht="15">
      <c r="D2923" s="216"/>
    </row>
    <row r="2924" ht="15">
      <c r="D2924" s="216"/>
    </row>
    <row r="2925" ht="15">
      <c r="D2925" s="216"/>
    </row>
    <row r="2926" ht="15">
      <c r="D2926" s="216"/>
    </row>
    <row r="2927" ht="15">
      <c r="D2927" s="216"/>
    </row>
    <row r="2928" ht="15">
      <c r="D2928" s="216"/>
    </row>
    <row r="2929" ht="15">
      <c r="D2929" s="216"/>
    </row>
    <row r="2930" ht="15">
      <c r="D2930" s="216"/>
    </row>
    <row r="2931" ht="15">
      <c r="D2931" s="216"/>
    </row>
    <row r="2932" ht="15">
      <c r="D2932" s="216"/>
    </row>
    <row r="2933" ht="15">
      <c r="D2933" s="216"/>
    </row>
    <row r="2934" ht="15">
      <c r="D2934" s="216"/>
    </row>
    <row r="2935" ht="15">
      <c r="D2935" s="216"/>
    </row>
    <row r="2936" ht="15">
      <c r="D2936" s="216"/>
    </row>
    <row r="2937" ht="15">
      <c r="D2937" s="216"/>
    </row>
    <row r="2938" ht="15">
      <c r="D2938" s="216"/>
    </row>
    <row r="2939" ht="15">
      <c r="D2939" s="216"/>
    </row>
    <row r="2940" ht="15">
      <c r="D2940" s="216"/>
    </row>
    <row r="2941" ht="15">
      <c r="D2941" s="216"/>
    </row>
    <row r="2942" ht="15">
      <c r="D2942" s="216"/>
    </row>
    <row r="2943" ht="15">
      <c r="D2943" s="216"/>
    </row>
    <row r="2944" ht="15">
      <c r="D2944" s="216"/>
    </row>
    <row r="2945" ht="15">
      <c r="D2945" s="216"/>
    </row>
    <row r="2946" ht="15">
      <c r="D2946" s="216"/>
    </row>
    <row r="2947" ht="15">
      <c r="D2947" s="216"/>
    </row>
    <row r="2948" ht="15">
      <c r="D2948" s="216"/>
    </row>
    <row r="2949" ht="15">
      <c r="D2949" s="216"/>
    </row>
    <row r="2950" ht="15">
      <c r="D2950" s="216"/>
    </row>
    <row r="2951" ht="15">
      <c r="D2951" s="216"/>
    </row>
    <row r="2952" ht="15">
      <c r="D2952" s="216"/>
    </row>
    <row r="2953" ht="15">
      <c r="D2953" s="216"/>
    </row>
    <row r="2954" ht="15">
      <c r="D2954" s="216"/>
    </row>
    <row r="2955" ht="15">
      <c r="D2955" s="216"/>
    </row>
    <row r="2956" ht="15">
      <c r="D2956" s="216"/>
    </row>
    <row r="2957" ht="15">
      <c r="D2957" s="216"/>
    </row>
    <row r="2958" ht="15">
      <c r="D2958" s="216"/>
    </row>
    <row r="2959" ht="15">
      <c r="D2959" s="216"/>
    </row>
    <row r="2960" ht="15">
      <c r="D2960" s="216"/>
    </row>
    <row r="2961" ht="15">
      <c r="D2961" s="216"/>
    </row>
    <row r="2962" ht="15">
      <c r="D2962" s="216"/>
    </row>
    <row r="2963" ht="15">
      <c r="D2963" s="216"/>
    </row>
    <row r="2964" ht="15">
      <c r="D2964" s="216"/>
    </row>
    <row r="2965" ht="15">
      <c r="D2965" s="216"/>
    </row>
    <row r="2966" ht="15">
      <c r="D2966" s="216"/>
    </row>
    <row r="2967" ht="15">
      <c r="D2967" s="216"/>
    </row>
    <row r="2968" ht="15">
      <c r="D2968" s="216"/>
    </row>
    <row r="2969" ht="15">
      <c r="D2969" s="216"/>
    </row>
    <row r="2970" ht="15">
      <c r="D2970" s="216"/>
    </row>
    <row r="2971" ht="15">
      <c r="D2971" s="216"/>
    </row>
    <row r="2972" ht="15">
      <c r="D2972" s="216"/>
    </row>
    <row r="2973" ht="15">
      <c r="D2973" s="216"/>
    </row>
    <row r="2974" ht="15">
      <c r="D2974" s="216"/>
    </row>
    <row r="2975" ht="15">
      <c r="D2975" s="216"/>
    </row>
    <row r="2976" ht="15">
      <c r="D2976" s="216"/>
    </row>
    <row r="2977" ht="15">
      <c r="D2977" s="216"/>
    </row>
    <row r="2978" ht="15">
      <c r="D2978" s="216"/>
    </row>
    <row r="2979" ht="15">
      <c r="D2979" s="216"/>
    </row>
    <row r="2980" ht="15">
      <c r="D2980" s="216"/>
    </row>
    <row r="2981" ht="15">
      <c r="D2981" s="216"/>
    </row>
    <row r="2982" ht="15">
      <c r="D2982" s="216"/>
    </row>
    <row r="2983" ht="15">
      <c r="D2983" s="216"/>
    </row>
    <row r="2984" ht="15">
      <c r="D2984" s="216"/>
    </row>
    <row r="2985" ht="15">
      <c r="D2985" s="216"/>
    </row>
    <row r="2986" ht="15">
      <c r="D2986" s="216"/>
    </row>
    <row r="2987" ht="15">
      <c r="D2987" s="216"/>
    </row>
    <row r="2988" ht="15">
      <c r="D2988" s="216"/>
    </row>
    <row r="2989" ht="15">
      <c r="D2989" s="216"/>
    </row>
    <row r="2990" ht="15">
      <c r="D2990" s="216"/>
    </row>
    <row r="2991" ht="15">
      <c r="D2991" s="216"/>
    </row>
    <row r="2992" ht="15">
      <c r="D2992" s="216"/>
    </row>
    <row r="2993" ht="15">
      <c r="D2993" s="216"/>
    </row>
    <row r="2994" ht="15">
      <c r="D2994" s="216"/>
    </row>
    <row r="2995" ht="15">
      <c r="D2995" s="216"/>
    </row>
    <row r="2996" ht="15">
      <c r="D2996" s="216"/>
    </row>
    <row r="2997" ht="15">
      <c r="D2997" s="216"/>
    </row>
    <row r="2998" ht="15">
      <c r="D2998" s="216"/>
    </row>
    <row r="2999" ht="15">
      <c r="D2999" s="216"/>
    </row>
    <row r="3000" ht="15">
      <c r="D3000" s="216"/>
    </row>
    <row r="3001" ht="15">
      <c r="D3001" s="216"/>
    </row>
    <row r="3002" ht="15">
      <c r="D3002" s="216"/>
    </row>
    <row r="3003" ht="15">
      <c r="D3003" s="216"/>
    </row>
    <row r="3004" ht="15">
      <c r="D3004" s="216"/>
    </row>
    <row r="3005" ht="15">
      <c r="D3005" s="216"/>
    </row>
    <row r="3006" ht="15">
      <c r="D3006" s="216"/>
    </row>
    <row r="3007" ht="15">
      <c r="D3007" s="216"/>
    </row>
    <row r="3008" ht="15">
      <c r="D3008" s="216"/>
    </row>
    <row r="3009" ht="15">
      <c r="D3009" s="216"/>
    </row>
    <row r="3010" ht="15">
      <c r="D3010" s="216"/>
    </row>
    <row r="3011" ht="15">
      <c r="D3011" s="216"/>
    </row>
    <row r="3012" ht="15">
      <c r="D3012" s="216"/>
    </row>
    <row r="3013" ht="15">
      <c r="D3013" s="216"/>
    </row>
    <row r="3014" ht="15">
      <c r="D3014" s="216"/>
    </row>
    <row r="3015" ht="15">
      <c r="D3015" s="216"/>
    </row>
    <row r="3016" ht="15">
      <c r="D3016" s="216"/>
    </row>
    <row r="3017" ht="15">
      <c r="D3017" s="216"/>
    </row>
    <row r="3018" ht="15">
      <c r="D3018" s="216"/>
    </row>
    <row r="3019" ht="15">
      <c r="D3019" s="216"/>
    </row>
    <row r="3020" ht="15">
      <c r="D3020" s="216"/>
    </row>
    <row r="3021" ht="15">
      <c r="D3021" s="216"/>
    </row>
    <row r="3022" ht="15">
      <c r="D3022" s="216"/>
    </row>
    <row r="3023" ht="15">
      <c r="D3023" s="216"/>
    </row>
    <row r="3024" ht="15">
      <c r="D3024" s="216"/>
    </row>
    <row r="3025" ht="15">
      <c r="D3025" s="216"/>
    </row>
    <row r="3026" ht="15">
      <c r="D3026" s="216"/>
    </row>
    <row r="3027" ht="15">
      <c r="D3027" s="216"/>
    </row>
    <row r="3028" ht="15">
      <c r="D3028" s="216"/>
    </row>
    <row r="3029" ht="15">
      <c r="D3029" s="216"/>
    </row>
    <row r="3030" ht="15">
      <c r="D3030" s="216"/>
    </row>
    <row r="3031" ht="15">
      <c r="D3031" s="216"/>
    </row>
    <row r="3032" ht="15">
      <c r="D3032" s="216"/>
    </row>
    <row r="3033" ht="15">
      <c r="D3033" s="216"/>
    </row>
    <row r="3034" ht="15">
      <c r="D3034" s="216"/>
    </row>
    <row r="3035" ht="15">
      <c r="D3035" s="216"/>
    </row>
    <row r="3036" ht="15">
      <c r="D3036" s="216"/>
    </row>
    <row r="3037" ht="15">
      <c r="D3037" s="216"/>
    </row>
    <row r="3038" ht="15">
      <c r="D3038" s="216"/>
    </row>
    <row r="3039" ht="15">
      <c r="D3039" s="216"/>
    </row>
    <row r="3040" ht="15">
      <c r="D3040" s="216"/>
    </row>
    <row r="3041" ht="15">
      <c r="D3041" s="216"/>
    </row>
    <row r="3042" ht="15">
      <c r="D3042" s="216"/>
    </row>
    <row r="3043" ht="15">
      <c r="D3043" s="216"/>
    </row>
    <row r="3044" ht="15">
      <c r="D3044" s="216"/>
    </row>
    <row r="3045" ht="15">
      <c r="D3045" s="216"/>
    </row>
    <row r="3046" ht="15">
      <c r="D3046" s="216"/>
    </row>
    <row r="3047" ht="15">
      <c r="D3047" s="216"/>
    </row>
    <row r="3048" ht="15">
      <c r="D3048" s="216"/>
    </row>
    <row r="3049" ht="15">
      <c r="D3049" s="216"/>
    </row>
    <row r="3050" ht="15">
      <c r="D3050" s="216"/>
    </row>
    <row r="3051" ht="15">
      <c r="D3051" s="216"/>
    </row>
    <row r="3052" ht="15">
      <c r="D3052" s="216"/>
    </row>
    <row r="3053" ht="15">
      <c r="D3053" s="216"/>
    </row>
    <row r="3054" ht="15">
      <c r="D3054" s="216"/>
    </row>
    <row r="3055" ht="15">
      <c r="D3055" s="216"/>
    </row>
    <row r="3056" ht="15">
      <c r="D3056" s="216"/>
    </row>
    <row r="3057" ht="15">
      <c r="D3057" s="216"/>
    </row>
    <row r="3058" ht="15">
      <c r="D3058" s="216"/>
    </row>
    <row r="3059" ht="15">
      <c r="D3059" s="216"/>
    </row>
    <row r="3060" ht="15">
      <c r="D3060" s="216"/>
    </row>
    <row r="3061" ht="15">
      <c r="D3061" s="216"/>
    </row>
    <row r="3062" ht="15">
      <c r="D3062" s="216"/>
    </row>
    <row r="3063" ht="15">
      <c r="D3063" s="216"/>
    </row>
    <row r="3064" ht="15">
      <c r="D3064" s="216"/>
    </row>
    <row r="3065" ht="15">
      <c r="D3065" s="216"/>
    </row>
    <row r="3066" ht="15">
      <c r="D3066" s="216"/>
    </row>
    <row r="3067" ht="15">
      <c r="D3067" s="216"/>
    </row>
    <row r="3068" ht="15">
      <c r="D3068" s="216"/>
    </row>
    <row r="3069" ht="15">
      <c r="D3069" s="216"/>
    </row>
    <row r="3070" ht="15">
      <c r="D3070" s="216"/>
    </row>
    <row r="3071" ht="15">
      <c r="D3071" s="216"/>
    </row>
    <row r="3072" ht="15">
      <c r="D3072" s="216"/>
    </row>
    <row r="3073" ht="15">
      <c r="D3073" s="216"/>
    </row>
    <row r="3074" ht="15">
      <c r="D3074" s="216"/>
    </row>
    <row r="3075" ht="15">
      <c r="D3075" s="216"/>
    </row>
    <row r="3076" ht="15">
      <c r="D3076" s="216"/>
    </row>
    <row r="3077" ht="15">
      <c r="D3077" s="216"/>
    </row>
    <row r="3078" ht="15">
      <c r="D3078" s="216"/>
    </row>
    <row r="3079" ht="15">
      <c r="D3079" s="216"/>
    </row>
    <row r="3080" ht="15">
      <c r="D3080" s="216"/>
    </row>
    <row r="3081" ht="15">
      <c r="D3081" s="216"/>
    </row>
    <row r="3082" ht="15">
      <c r="D3082" s="216"/>
    </row>
    <row r="3083" ht="15">
      <c r="D3083" s="216"/>
    </row>
    <row r="3084" ht="15">
      <c r="D3084" s="216"/>
    </row>
    <row r="3085" ht="15">
      <c r="D3085" s="216"/>
    </row>
    <row r="3086" ht="15">
      <c r="D3086" s="216"/>
    </row>
    <row r="3087" ht="15">
      <c r="D3087" s="216"/>
    </row>
    <row r="3088" ht="15">
      <c r="D3088" s="216"/>
    </row>
    <row r="3089" ht="15">
      <c r="D3089" s="216"/>
    </row>
    <row r="3090" ht="15">
      <c r="D3090" s="216"/>
    </row>
    <row r="3091" ht="15">
      <c r="D3091" s="216"/>
    </row>
    <row r="3092" ht="15">
      <c r="D3092" s="216"/>
    </row>
    <row r="3093" ht="15">
      <c r="D3093" s="216"/>
    </row>
    <row r="3094" ht="15">
      <c r="D3094" s="216"/>
    </row>
    <row r="3095" ht="15">
      <c r="D3095" s="216"/>
    </row>
    <row r="3096" ht="15">
      <c r="D3096" s="216"/>
    </row>
    <row r="3097" ht="15">
      <c r="D3097" s="216"/>
    </row>
    <row r="3098" ht="15">
      <c r="D3098" s="216"/>
    </row>
    <row r="3099" ht="15">
      <c r="D3099" s="216"/>
    </row>
    <row r="3100" ht="15">
      <c r="D3100" s="216"/>
    </row>
    <row r="3101" ht="15">
      <c r="D3101" s="216"/>
    </row>
    <row r="3102" ht="15">
      <c r="D3102" s="216"/>
    </row>
    <row r="3103" ht="15">
      <c r="D3103" s="216"/>
    </row>
    <row r="3104" ht="15">
      <c r="D3104" s="216"/>
    </row>
    <row r="3105" ht="15">
      <c r="D3105" s="216"/>
    </row>
    <row r="3106" ht="15">
      <c r="D3106" s="216"/>
    </row>
    <row r="3107" ht="15">
      <c r="D3107" s="216"/>
    </row>
    <row r="3108" ht="15">
      <c r="D3108" s="216"/>
    </row>
    <row r="3109" ht="15">
      <c r="D3109" s="216"/>
    </row>
    <row r="3110" ht="15">
      <c r="D3110" s="216"/>
    </row>
    <row r="3111" ht="15">
      <c r="D3111" s="216"/>
    </row>
    <row r="3112" ht="15">
      <c r="D3112" s="216"/>
    </row>
    <row r="3113" ht="15">
      <c r="D3113" s="216"/>
    </row>
    <row r="3114" ht="15">
      <c r="D3114" s="216"/>
    </row>
    <row r="3115" ht="15">
      <c r="D3115" s="216"/>
    </row>
    <row r="3116" ht="15">
      <c r="D3116" s="216"/>
    </row>
    <row r="3117" ht="15">
      <c r="D3117" s="216"/>
    </row>
    <row r="3118" ht="15">
      <c r="D3118" s="216"/>
    </row>
    <row r="3119" ht="15">
      <c r="D3119" s="216"/>
    </row>
    <row r="3120" ht="15">
      <c r="D3120" s="216"/>
    </row>
    <row r="3121" ht="15">
      <c r="D3121" s="216"/>
    </row>
    <row r="3122" ht="15">
      <c r="D3122" s="216"/>
    </row>
    <row r="3123" ht="15">
      <c r="D3123" s="216"/>
    </row>
    <row r="3124" ht="15">
      <c r="D3124" s="216"/>
    </row>
    <row r="3125" ht="15">
      <c r="D3125" s="216"/>
    </row>
    <row r="3126" ht="15">
      <c r="D3126" s="216"/>
    </row>
    <row r="3127" ht="15">
      <c r="D3127" s="216"/>
    </row>
    <row r="3128" ht="15">
      <c r="D3128" s="216"/>
    </row>
    <row r="3129" ht="15">
      <c r="D3129" s="216"/>
    </row>
    <row r="3130" ht="15">
      <c r="D3130" s="216"/>
    </row>
    <row r="3131" ht="15">
      <c r="D3131" s="216"/>
    </row>
    <row r="3132" ht="15">
      <c r="D3132" s="216"/>
    </row>
    <row r="3133" ht="15">
      <c r="D3133" s="216"/>
    </row>
    <row r="3134" ht="15">
      <c r="D3134" s="216"/>
    </row>
    <row r="3135" ht="15">
      <c r="D3135" s="216"/>
    </row>
    <row r="3136" ht="15">
      <c r="D3136" s="216"/>
    </row>
    <row r="3137" ht="15">
      <c r="D3137" s="216"/>
    </row>
    <row r="3138" ht="15">
      <c r="D3138" s="216"/>
    </row>
    <row r="3139" ht="15">
      <c r="D3139" s="216"/>
    </row>
    <row r="3140" ht="15">
      <c r="D3140" s="216"/>
    </row>
    <row r="3141" ht="15">
      <c r="D3141" s="216"/>
    </row>
    <row r="3142" ht="15">
      <c r="D3142" s="216"/>
    </row>
    <row r="3143" ht="15">
      <c r="D3143" s="216"/>
    </row>
    <row r="3144" ht="15">
      <c r="D3144" s="216"/>
    </row>
    <row r="3145" ht="15">
      <c r="D3145" s="216"/>
    </row>
    <row r="3146" ht="15">
      <c r="D3146" s="216"/>
    </row>
    <row r="3147" ht="15">
      <c r="D3147" s="216"/>
    </row>
    <row r="3148" ht="15">
      <c r="D3148" s="216"/>
    </row>
    <row r="3149" ht="15">
      <c r="D3149" s="216"/>
    </row>
    <row r="3150" ht="15">
      <c r="D3150" s="216"/>
    </row>
    <row r="3151" ht="15">
      <c r="D3151" s="216"/>
    </row>
    <row r="3152" ht="15">
      <c r="D3152" s="216"/>
    </row>
    <row r="3153" ht="15">
      <c r="D3153" s="216"/>
    </row>
    <row r="3154" ht="15">
      <c r="D3154" s="216"/>
    </row>
    <row r="3155" ht="15">
      <c r="D3155" s="216"/>
    </row>
    <row r="3156" ht="15">
      <c r="D3156" s="216"/>
    </row>
    <row r="3157" ht="15">
      <c r="D3157" s="216"/>
    </row>
    <row r="3158" ht="15">
      <c r="D3158" s="216"/>
    </row>
    <row r="3159" ht="15">
      <c r="D3159" s="216"/>
    </row>
    <row r="3160" ht="15">
      <c r="D3160" s="216"/>
    </row>
    <row r="3161" ht="15">
      <c r="D3161" s="216"/>
    </row>
    <row r="3162" ht="15">
      <c r="D3162" s="216"/>
    </row>
    <row r="3163" ht="15">
      <c r="D3163" s="216"/>
    </row>
    <row r="3164" ht="15">
      <c r="D3164" s="216"/>
    </row>
    <row r="3165" ht="15">
      <c r="D3165" s="216"/>
    </row>
    <row r="3166" ht="15">
      <c r="D3166" s="216"/>
    </row>
    <row r="3167" ht="15">
      <c r="D3167" s="216"/>
    </row>
    <row r="3168" ht="15">
      <c r="D3168" s="216"/>
    </row>
    <row r="3169" ht="15">
      <c r="D3169" s="216"/>
    </row>
    <row r="3170" ht="15">
      <c r="D3170" s="216"/>
    </row>
    <row r="3171" ht="15">
      <c r="D3171" s="216"/>
    </row>
    <row r="3172" ht="15">
      <c r="D3172" s="216"/>
    </row>
    <row r="3173" ht="15">
      <c r="D3173" s="216"/>
    </row>
    <row r="3174" ht="15">
      <c r="D3174" s="216"/>
    </row>
    <row r="3175" ht="15">
      <c r="D3175" s="216"/>
    </row>
    <row r="3176" ht="15">
      <c r="D3176" s="216"/>
    </row>
    <row r="3177" ht="15">
      <c r="D3177" s="216"/>
    </row>
    <row r="3178" ht="15">
      <c r="D3178" s="216"/>
    </row>
    <row r="3179" ht="15">
      <c r="D3179" s="216"/>
    </row>
    <row r="3180" ht="15">
      <c r="D3180" s="216"/>
    </row>
    <row r="3181" ht="15">
      <c r="D3181" s="216"/>
    </row>
    <row r="3182" ht="15">
      <c r="D3182" s="216"/>
    </row>
    <row r="3183" ht="15">
      <c r="D3183" s="216"/>
    </row>
    <row r="3184" ht="15">
      <c r="D3184" s="216"/>
    </row>
    <row r="3185" ht="15">
      <c r="D3185" s="216"/>
    </row>
    <row r="3186" ht="15">
      <c r="D3186" s="216"/>
    </row>
    <row r="3187" ht="15">
      <c r="D3187" s="216"/>
    </row>
    <row r="3188" ht="15">
      <c r="D3188" s="216"/>
    </row>
    <row r="3189" ht="15">
      <c r="D3189" s="216"/>
    </row>
    <row r="3190" ht="15">
      <c r="D3190" s="216"/>
    </row>
    <row r="3191" ht="15">
      <c r="D3191" s="216"/>
    </row>
    <row r="3192" ht="15">
      <c r="D3192" s="216"/>
    </row>
    <row r="3193" ht="15">
      <c r="D3193" s="216"/>
    </row>
    <row r="3194" ht="15">
      <c r="D3194" s="216"/>
    </row>
    <row r="3195" ht="15">
      <c r="D3195" s="216"/>
    </row>
    <row r="3196" ht="15">
      <c r="D3196" s="216"/>
    </row>
    <row r="3197" ht="15">
      <c r="D3197" s="216"/>
    </row>
    <row r="3198" ht="15">
      <c r="D3198" s="216"/>
    </row>
    <row r="3199" ht="15">
      <c r="D3199" s="216"/>
    </row>
    <row r="3200" ht="15">
      <c r="D3200" s="216"/>
    </row>
    <row r="3201" ht="15">
      <c r="D3201" s="216"/>
    </row>
    <row r="3202" ht="15">
      <c r="D3202" s="216"/>
    </row>
    <row r="3203" ht="15">
      <c r="D3203" s="216"/>
    </row>
    <row r="3204" ht="15">
      <c r="D3204" s="216"/>
    </row>
    <row r="3205" ht="15">
      <c r="D3205" s="216"/>
    </row>
    <row r="3206" ht="15">
      <c r="D3206" s="216"/>
    </row>
    <row r="3207" ht="15">
      <c r="D3207" s="216"/>
    </row>
    <row r="3208" ht="15">
      <c r="D3208" s="216"/>
    </row>
    <row r="3209" ht="15">
      <c r="D3209" s="216"/>
    </row>
    <row r="3210" ht="15">
      <c r="D3210" s="216"/>
    </row>
    <row r="3211" ht="15">
      <c r="D3211" s="216"/>
    </row>
    <row r="3212" ht="15">
      <c r="D3212" s="216"/>
    </row>
    <row r="3213" ht="15">
      <c r="D3213" s="216"/>
    </row>
    <row r="3214" ht="15">
      <c r="D3214" s="216"/>
    </row>
    <row r="3215" ht="15">
      <c r="D3215" s="216"/>
    </row>
    <row r="3216" ht="15">
      <c r="D3216" s="216"/>
    </row>
    <row r="3217" ht="15">
      <c r="D3217" s="216"/>
    </row>
    <row r="3218" ht="15">
      <c r="D3218" s="216"/>
    </row>
    <row r="3219" ht="15">
      <c r="D3219" s="216"/>
    </row>
    <row r="3220" ht="15">
      <c r="D3220" s="216"/>
    </row>
    <row r="3221" ht="15">
      <c r="D3221" s="216"/>
    </row>
    <row r="3222" ht="15">
      <c r="D3222" s="216"/>
    </row>
    <row r="3223" ht="15">
      <c r="D3223" s="216"/>
    </row>
    <row r="3224" ht="15">
      <c r="D3224" s="216"/>
    </row>
    <row r="3225" ht="15">
      <c r="D3225" s="216"/>
    </row>
    <row r="3226" ht="15">
      <c r="D3226" s="216"/>
    </row>
    <row r="3227" ht="15">
      <c r="D3227" s="216"/>
    </row>
    <row r="3228" ht="15">
      <c r="D3228" s="216"/>
    </row>
    <row r="3229" ht="15">
      <c r="D3229" s="216"/>
    </row>
    <row r="3230" ht="15">
      <c r="D3230" s="216"/>
    </row>
    <row r="3231" ht="15">
      <c r="D3231" s="216"/>
    </row>
    <row r="3232" ht="15">
      <c r="D3232" s="216"/>
    </row>
    <row r="3233" ht="15">
      <c r="D3233" s="216"/>
    </row>
    <row r="3234" ht="15">
      <c r="D3234" s="216"/>
    </row>
    <row r="3235" ht="15">
      <c r="D3235" s="216"/>
    </row>
    <row r="3236" ht="15">
      <c r="D3236" s="216"/>
    </row>
    <row r="3237" ht="15">
      <c r="D3237" s="216"/>
    </row>
    <row r="3238" ht="15">
      <c r="D3238" s="216"/>
    </row>
    <row r="3239" ht="15">
      <c r="D3239" s="216"/>
    </row>
    <row r="3240" ht="15">
      <c r="D3240" s="216"/>
    </row>
    <row r="3241" ht="15">
      <c r="D3241" s="216"/>
    </row>
    <row r="3242" ht="15">
      <c r="D3242" s="216"/>
    </row>
    <row r="3243" ht="15">
      <c r="D3243" s="216"/>
    </row>
    <row r="3244" ht="15">
      <c r="D3244" s="216"/>
    </row>
    <row r="3245" ht="15">
      <c r="D3245" s="216"/>
    </row>
    <row r="3246" ht="15">
      <c r="D3246" s="216"/>
    </row>
    <row r="3247" ht="15">
      <c r="D3247" s="216"/>
    </row>
    <row r="3248" ht="15">
      <c r="D3248" s="216"/>
    </row>
    <row r="3249" ht="15">
      <c r="D3249" s="216"/>
    </row>
    <row r="3250" ht="15">
      <c r="D3250" s="216"/>
    </row>
    <row r="3251" ht="15">
      <c r="D3251" s="216"/>
    </row>
    <row r="3252" ht="15">
      <c r="D3252" s="216"/>
    </row>
    <row r="3253" ht="15">
      <c r="D3253" s="216"/>
    </row>
    <row r="3254" ht="15">
      <c r="D3254" s="216"/>
    </row>
    <row r="3255" ht="15">
      <c r="D3255" s="216"/>
    </row>
    <row r="3256" ht="15">
      <c r="D3256" s="216"/>
    </row>
    <row r="3257" ht="15">
      <c r="D3257" s="216"/>
    </row>
    <row r="3258" ht="15">
      <c r="D3258" s="216"/>
    </row>
    <row r="3259" ht="15">
      <c r="D3259" s="216"/>
    </row>
    <row r="3260" ht="15">
      <c r="D3260" s="216"/>
    </row>
    <row r="3261" ht="15">
      <c r="D3261" s="216"/>
    </row>
    <row r="3262" ht="15">
      <c r="D3262" s="216"/>
    </row>
    <row r="3263" ht="15">
      <c r="D3263" s="216"/>
    </row>
    <row r="3264" ht="15">
      <c r="D3264" s="216"/>
    </row>
    <row r="3265" ht="15">
      <c r="D3265" s="216"/>
    </row>
    <row r="3266" ht="15">
      <c r="D3266" s="216"/>
    </row>
    <row r="3267" ht="15">
      <c r="D3267" s="216"/>
    </row>
    <row r="3268" ht="15">
      <c r="D3268" s="216"/>
    </row>
    <row r="3269" ht="15">
      <c r="D3269" s="216"/>
    </row>
    <row r="3270" ht="15">
      <c r="D3270" s="216"/>
    </row>
    <row r="3271" ht="15">
      <c r="D3271" s="216"/>
    </row>
    <row r="3272" ht="15">
      <c r="D3272" s="216"/>
    </row>
    <row r="3273" ht="15">
      <c r="D3273" s="216"/>
    </row>
    <row r="3274" ht="15">
      <c r="D3274" s="216"/>
    </row>
    <row r="3275" ht="15">
      <c r="D3275" s="216"/>
    </row>
    <row r="3276" ht="15">
      <c r="D3276" s="216"/>
    </row>
    <row r="3277" ht="15">
      <c r="D3277" s="216"/>
    </row>
    <row r="3278" ht="15">
      <c r="D3278" s="216"/>
    </row>
    <row r="3279" ht="15">
      <c r="D3279" s="216"/>
    </row>
    <row r="3280" ht="15">
      <c r="D3280" s="216"/>
    </row>
    <row r="3281" ht="15">
      <c r="D3281" s="216"/>
    </row>
    <row r="3282" ht="15">
      <c r="D3282" s="216"/>
    </row>
    <row r="3283" ht="15">
      <c r="D3283" s="216"/>
    </row>
    <row r="3284" ht="15">
      <c r="D3284" s="216"/>
    </row>
    <row r="3285" ht="15">
      <c r="D3285" s="216"/>
    </row>
    <row r="3286" ht="15">
      <c r="D3286" s="216"/>
    </row>
    <row r="3287" ht="15">
      <c r="D3287" s="216"/>
    </row>
    <row r="3288" ht="15">
      <c r="D3288" s="216"/>
    </row>
    <row r="3289" ht="15">
      <c r="D3289" s="216"/>
    </row>
    <row r="3290" ht="15">
      <c r="D3290" s="216"/>
    </row>
    <row r="3291" ht="15">
      <c r="D3291" s="216"/>
    </row>
    <row r="3292" ht="15">
      <c r="D3292" s="216"/>
    </row>
    <row r="3293" ht="15">
      <c r="D3293" s="216"/>
    </row>
    <row r="3294" ht="15">
      <c r="D3294" s="216"/>
    </row>
    <row r="3295" ht="15">
      <c r="D3295" s="216"/>
    </row>
    <row r="3296" ht="15">
      <c r="D3296" s="216"/>
    </row>
    <row r="3297" ht="15">
      <c r="D3297" s="216"/>
    </row>
    <row r="3298" ht="15">
      <c r="D3298" s="216"/>
    </row>
    <row r="3299" ht="15">
      <c r="D3299" s="216"/>
    </row>
    <row r="3300" ht="15">
      <c r="D3300" s="216"/>
    </row>
    <row r="3301" ht="15">
      <c r="D3301" s="216"/>
    </row>
    <row r="3302" ht="15">
      <c r="D3302" s="216"/>
    </row>
    <row r="3303" ht="15">
      <c r="D3303" s="216"/>
    </row>
    <row r="3304" ht="15">
      <c r="D3304" s="216"/>
    </row>
    <row r="3305" ht="15">
      <c r="D3305" s="216"/>
    </row>
    <row r="3306" ht="15">
      <c r="D3306" s="216"/>
    </row>
    <row r="3307" ht="15">
      <c r="D3307" s="216"/>
    </row>
    <row r="3308" ht="15">
      <c r="D3308" s="216"/>
    </row>
    <row r="3309" ht="15">
      <c r="D3309" s="216"/>
    </row>
    <row r="3310" ht="15">
      <c r="D3310" s="216"/>
    </row>
    <row r="3311" ht="15">
      <c r="D3311" s="216"/>
    </row>
    <row r="3312" ht="15">
      <c r="D3312" s="216"/>
    </row>
    <row r="3313" ht="15">
      <c r="D3313" s="216"/>
    </row>
    <row r="3314" ht="15">
      <c r="D3314" s="216"/>
    </row>
    <row r="3315" ht="15">
      <c r="D3315" s="216"/>
    </row>
    <row r="3316" ht="15">
      <c r="D3316" s="216"/>
    </row>
    <row r="3317" ht="15">
      <c r="D3317" s="216"/>
    </row>
    <row r="3318" ht="15">
      <c r="D3318" s="216"/>
    </row>
    <row r="3319" ht="15">
      <c r="D3319" s="216"/>
    </row>
    <row r="3320" ht="15">
      <c r="D3320" s="216"/>
    </row>
    <row r="3321" ht="15">
      <c r="D3321" s="216"/>
    </row>
    <row r="3322" ht="15">
      <c r="D3322" s="216"/>
    </row>
    <row r="3323" ht="15">
      <c r="D3323" s="216"/>
    </row>
    <row r="3324" ht="15">
      <c r="D3324" s="216"/>
    </row>
    <row r="3325" ht="15">
      <c r="D3325" s="216"/>
    </row>
    <row r="3326" ht="15">
      <c r="D3326" s="216"/>
    </row>
    <row r="3327" ht="15">
      <c r="D3327" s="216"/>
    </row>
    <row r="3328" ht="15">
      <c r="D3328" s="216"/>
    </row>
    <row r="3329" ht="15">
      <c r="D3329" s="216"/>
    </row>
    <row r="3330" ht="15">
      <c r="D3330" s="216"/>
    </row>
    <row r="3331" ht="15">
      <c r="D3331" s="216"/>
    </row>
    <row r="3332" ht="15">
      <c r="D3332" s="216"/>
    </row>
    <row r="3333" ht="15">
      <c r="D3333" s="216"/>
    </row>
    <row r="3334" ht="15">
      <c r="D3334" s="216"/>
    </row>
    <row r="3335" ht="15">
      <c r="D3335" s="216"/>
    </row>
    <row r="3336" ht="15">
      <c r="D3336" s="216"/>
    </row>
    <row r="3337" ht="15">
      <c r="D3337" s="216"/>
    </row>
    <row r="3338" ht="15">
      <c r="D3338" s="216"/>
    </row>
    <row r="3339" ht="15">
      <c r="D3339" s="216"/>
    </row>
    <row r="3340" ht="15">
      <c r="D3340" s="216"/>
    </row>
    <row r="3341" ht="15">
      <c r="D3341" s="216"/>
    </row>
    <row r="3342" ht="15">
      <c r="D3342" s="216"/>
    </row>
    <row r="3343" ht="15">
      <c r="D3343" s="216"/>
    </row>
    <row r="3344" ht="15">
      <c r="D3344" s="216"/>
    </row>
    <row r="3345" ht="15">
      <c r="D3345" s="216"/>
    </row>
    <row r="3346" ht="15">
      <c r="D3346" s="216"/>
    </row>
    <row r="3347" ht="15">
      <c r="D3347" s="216"/>
    </row>
    <row r="3348" ht="15">
      <c r="D3348" s="216"/>
    </row>
    <row r="3349" ht="15">
      <c r="D3349" s="216"/>
    </row>
    <row r="3350" ht="15">
      <c r="D3350" s="216"/>
    </row>
    <row r="3351" ht="15">
      <c r="D3351" s="216"/>
    </row>
    <row r="3352" ht="15">
      <c r="D3352" s="216"/>
    </row>
    <row r="3353" ht="15">
      <c r="D3353" s="216"/>
    </row>
    <row r="3354" ht="15">
      <c r="D3354" s="216"/>
    </row>
    <row r="3355" ht="15">
      <c r="D3355" s="216"/>
    </row>
    <row r="3356" ht="15">
      <c r="D3356" s="216"/>
    </row>
    <row r="3357" ht="15">
      <c r="D3357" s="216"/>
    </row>
    <row r="3358" ht="15">
      <c r="D3358" s="216"/>
    </row>
    <row r="3359" ht="15">
      <c r="D3359" s="216"/>
    </row>
    <row r="3360" ht="15">
      <c r="D3360" s="216"/>
    </row>
    <row r="3361" ht="15">
      <c r="D3361" s="216"/>
    </row>
    <row r="3362" ht="15">
      <c r="D3362" s="216"/>
    </row>
    <row r="3363" ht="15">
      <c r="D3363" s="216"/>
    </row>
    <row r="3364" ht="15">
      <c r="D3364" s="216"/>
    </row>
    <row r="3365" ht="15">
      <c r="D3365" s="216"/>
    </row>
    <row r="3366" ht="15">
      <c r="D3366" s="216"/>
    </row>
    <row r="3367" ht="15">
      <c r="D3367" s="216"/>
    </row>
    <row r="3368" ht="15">
      <c r="D3368" s="216"/>
    </row>
    <row r="3369" ht="15">
      <c r="D3369" s="216"/>
    </row>
    <row r="3370" ht="15">
      <c r="D3370" s="216"/>
    </row>
    <row r="3371" ht="15">
      <c r="D3371" s="216"/>
    </row>
    <row r="3372" ht="15">
      <c r="D3372" s="216"/>
    </row>
    <row r="3373" ht="15">
      <c r="D3373" s="216"/>
    </row>
    <row r="3374" ht="15">
      <c r="D3374" s="216"/>
    </row>
    <row r="3375" ht="15">
      <c r="D3375" s="216"/>
    </row>
    <row r="3376" ht="15">
      <c r="D3376" s="216"/>
    </row>
    <row r="3377" ht="15">
      <c r="D3377" s="216"/>
    </row>
    <row r="3378" ht="15">
      <c r="D3378" s="216"/>
    </row>
    <row r="3379" ht="15">
      <c r="D3379" s="216"/>
    </row>
    <row r="3380" ht="15">
      <c r="D3380" s="216"/>
    </row>
    <row r="3381" ht="15">
      <c r="D3381" s="216"/>
    </row>
    <row r="3382" ht="15">
      <c r="D3382" s="216"/>
    </row>
    <row r="3383" ht="15">
      <c r="D3383" s="216"/>
    </row>
    <row r="3384" ht="15">
      <c r="D3384" s="216"/>
    </row>
    <row r="3385" ht="15">
      <c r="D3385" s="216"/>
    </row>
    <row r="3386" ht="15">
      <c r="D3386" s="216"/>
    </row>
    <row r="3387" ht="15">
      <c r="D3387" s="216"/>
    </row>
    <row r="3388" ht="15">
      <c r="D3388" s="216"/>
    </row>
    <row r="3389" ht="15">
      <c r="D3389" s="216"/>
    </row>
    <row r="3390" ht="15">
      <c r="D3390" s="216"/>
    </row>
    <row r="3391" ht="15">
      <c r="D3391" s="216"/>
    </row>
    <row r="3392" ht="15">
      <c r="D3392" s="216"/>
    </row>
    <row r="3393" ht="15">
      <c r="D3393" s="216"/>
    </row>
    <row r="3394" ht="15">
      <c r="D3394" s="216"/>
    </row>
    <row r="3395" ht="15">
      <c r="D3395" s="216"/>
    </row>
    <row r="3396" ht="15">
      <c r="D3396" s="216"/>
    </row>
    <row r="3397" ht="15">
      <c r="D3397" s="216"/>
    </row>
    <row r="3398" ht="15">
      <c r="D3398" s="216"/>
    </row>
    <row r="3399" ht="15">
      <c r="D3399" s="216"/>
    </row>
    <row r="3400" ht="15">
      <c r="D3400" s="216"/>
    </row>
    <row r="3401" ht="15">
      <c r="D3401" s="216"/>
    </row>
    <row r="3402" ht="15">
      <c r="D3402" s="216"/>
    </row>
    <row r="3403" ht="15">
      <c r="D3403" s="216"/>
    </row>
    <row r="3404" ht="15">
      <c r="D3404" s="216"/>
    </row>
    <row r="3405" ht="15">
      <c r="D3405" s="216"/>
    </row>
    <row r="3406" ht="15">
      <c r="D3406" s="216"/>
    </row>
    <row r="3407" ht="15">
      <c r="D3407" s="216"/>
    </row>
    <row r="3408" ht="15">
      <c r="D3408" s="216"/>
    </row>
    <row r="3409" ht="15">
      <c r="D3409" s="216"/>
    </row>
    <row r="3410" ht="15">
      <c r="D3410" s="216"/>
    </row>
    <row r="3411" ht="15">
      <c r="D3411" s="216"/>
    </row>
    <row r="3412" ht="15">
      <c r="D3412" s="216"/>
    </row>
    <row r="3413" ht="15">
      <c r="D3413" s="216"/>
    </row>
    <row r="3414" ht="15">
      <c r="D3414" s="216"/>
    </row>
    <row r="3415" ht="15">
      <c r="D3415" s="216"/>
    </row>
    <row r="3416" ht="15">
      <c r="D3416" s="216"/>
    </row>
    <row r="3417" ht="15">
      <c r="D3417" s="216"/>
    </row>
    <row r="3418" ht="15">
      <c r="D3418" s="216"/>
    </row>
    <row r="3419" ht="15">
      <c r="D3419" s="216"/>
    </row>
    <row r="3420" ht="15">
      <c r="D3420" s="216"/>
    </row>
    <row r="3421" ht="15">
      <c r="D3421" s="216"/>
    </row>
    <row r="3422" ht="15">
      <c r="D3422" s="216"/>
    </row>
    <row r="3423" ht="15">
      <c r="D3423" s="216"/>
    </row>
    <row r="3424" ht="15">
      <c r="D3424" s="216"/>
    </row>
    <row r="3425" ht="15">
      <c r="D3425" s="216"/>
    </row>
    <row r="3426" ht="15">
      <c r="D3426" s="216"/>
    </row>
    <row r="3427" ht="15">
      <c r="D3427" s="216"/>
    </row>
    <row r="3428" ht="15">
      <c r="D3428" s="216"/>
    </row>
    <row r="3429" ht="15">
      <c r="D3429" s="216"/>
    </row>
    <row r="3430" ht="15">
      <c r="D3430" s="216"/>
    </row>
    <row r="3431" ht="15">
      <c r="D3431" s="216"/>
    </row>
    <row r="3432" ht="15">
      <c r="D3432" s="216"/>
    </row>
    <row r="3433" ht="15">
      <c r="D3433" s="216"/>
    </row>
    <row r="3434" ht="15">
      <c r="D3434" s="216"/>
    </row>
    <row r="3435" ht="15">
      <c r="D3435" s="216"/>
    </row>
    <row r="3436" ht="15">
      <c r="D3436" s="216"/>
    </row>
    <row r="3437" ht="15">
      <c r="D3437" s="216"/>
    </row>
    <row r="3438" ht="15">
      <c r="D3438" s="216"/>
    </row>
    <row r="3439" ht="15">
      <c r="D3439" s="216"/>
    </row>
    <row r="3440" ht="15">
      <c r="D3440" s="216"/>
    </row>
    <row r="3441" ht="15">
      <c r="D3441" s="216"/>
    </row>
    <row r="3442" ht="15">
      <c r="D3442" s="216"/>
    </row>
    <row r="3443" ht="15">
      <c r="D3443" s="216"/>
    </row>
    <row r="3444" ht="15">
      <c r="D3444" s="216"/>
    </row>
    <row r="3445" ht="15">
      <c r="D3445" s="216"/>
    </row>
    <row r="3446" ht="15">
      <c r="D3446" s="216"/>
    </row>
    <row r="3447" ht="15">
      <c r="D3447" s="216"/>
    </row>
    <row r="3448" ht="15">
      <c r="D3448" s="216"/>
    </row>
    <row r="3449" ht="15">
      <c r="D3449" s="216"/>
    </row>
    <row r="3450" ht="15">
      <c r="D3450" s="216"/>
    </row>
    <row r="3451" ht="15">
      <c r="D3451" s="216"/>
    </row>
    <row r="3452" ht="15">
      <c r="D3452" s="216"/>
    </row>
    <row r="3453" ht="15">
      <c r="D3453" s="216"/>
    </row>
    <row r="3454" ht="15">
      <c r="D3454" s="216"/>
    </row>
    <row r="3455" ht="15">
      <c r="D3455" s="216"/>
    </row>
    <row r="3456" ht="15">
      <c r="D3456" s="216"/>
    </row>
    <row r="3457" ht="15">
      <c r="D3457" s="216"/>
    </row>
    <row r="3458" ht="15">
      <c r="D3458" s="216"/>
    </row>
    <row r="3459" ht="15">
      <c r="D3459" s="216"/>
    </row>
    <row r="3460" ht="15">
      <c r="D3460" s="216"/>
    </row>
    <row r="3461" ht="15">
      <c r="D3461" s="216"/>
    </row>
    <row r="3462" ht="15">
      <c r="D3462" s="216"/>
    </row>
    <row r="3463" ht="15">
      <c r="D3463" s="216"/>
    </row>
    <row r="3464" ht="15">
      <c r="D3464" s="216"/>
    </row>
    <row r="3465" ht="15">
      <c r="D3465" s="216"/>
    </row>
    <row r="3466" ht="15">
      <c r="D3466" s="216"/>
    </row>
    <row r="3467" ht="15">
      <c r="D3467" s="216"/>
    </row>
    <row r="3468" ht="15">
      <c r="D3468" s="216"/>
    </row>
    <row r="3469" ht="15">
      <c r="D3469" s="216"/>
    </row>
    <row r="3470" ht="15">
      <c r="D3470" s="216"/>
    </row>
    <row r="3471" ht="15">
      <c r="D3471" s="216"/>
    </row>
    <row r="3472" ht="15">
      <c r="D3472" s="216"/>
    </row>
    <row r="3473" ht="15">
      <c r="D3473" s="216"/>
    </row>
    <row r="3474" ht="15">
      <c r="D3474" s="216"/>
    </row>
    <row r="3475" ht="15">
      <c r="D3475" s="216"/>
    </row>
    <row r="3476" ht="15">
      <c r="D3476" s="216"/>
    </row>
    <row r="3477" ht="15">
      <c r="D3477" s="216"/>
    </row>
    <row r="3478" ht="15">
      <c r="D3478" s="216"/>
    </row>
    <row r="3479" ht="15">
      <c r="D3479" s="216"/>
    </row>
    <row r="3480" ht="15">
      <c r="D3480" s="216"/>
    </row>
    <row r="3481" ht="15">
      <c r="D3481" s="216"/>
    </row>
    <row r="3482" ht="15">
      <c r="D3482" s="216"/>
    </row>
    <row r="3483" ht="15">
      <c r="D3483" s="216"/>
    </row>
    <row r="3484" ht="15">
      <c r="D3484" s="216"/>
    </row>
    <row r="3485" ht="15">
      <c r="D3485" s="216"/>
    </row>
    <row r="3486" ht="15">
      <c r="D3486" s="216"/>
    </row>
    <row r="3487" ht="15">
      <c r="D3487" s="216"/>
    </row>
    <row r="3488" ht="15">
      <c r="D3488" s="216"/>
    </row>
    <row r="3489" ht="15">
      <c r="D3489" s="216"/>
    </row>
    <row r="3490" ht="15">
      <c r="D3490" s="216"/>
    </row>
    <row r="3491" ht="15">
      <c r="D3491" s="216"/>
    </row>
    <row r="3492" ht="15">
      <c r="D3492" s="216"/>
    </row>
    <row r="3493" ht="15">
      <c r="D3493" s="216"/>
    </row>
    <row r="3494" ht="15">
      <c r="D3494" s="216"/>
    </row>
    <row r="3495" ht="15">
      <c r="D3495" s="216"/>
    </row>
    <row r="3496" ht="15">
      <c r="D3496" s="216"/>
    </row>
    <row r="3497" ht="15">
      <c r="D3497" s="216"/>
    </row>
    <row r="3498" ht="15">
      <c r="D3498" s="216"/>
    </row>
    <row r="3499" ht="15">
      <c r="D3499" s="216"/>
    </row>
    <row r="3500" ht="15">
      <c r="D3500" s="216"/>
    </row>
    <row r="3501" ht="15">
      <c r="D3501" s="216"/>
    </row>
    <row r="3502" ht="15">
      <c r="D3502" s="216"/>
    </row>
    <row r="3503" ht="15">
      <c r="D3503" s="216"/>
    </row>
    <row r="3504" ht="15">
      <c r="D3504" s="216"/>
    </row>
    <row r="3505" ht="15">
      <c r="D3505" s="216"/>
    </row>
    <row r="3506" ht="15">
      <c r="D3506" s="216"/>
    </row>
    <row r="3507" ht="15">
      <c r="D3507" s="216"/>
    </row>
    <row r="3508" ht="15">
      <c r="D3508" s="216"/>
    </row>
    <row r="3509" ht="15">
      <c r="D3509" s="216"/>
    </row>
    <row r="3510" ht="15">
      <c r="D3510" s="216"/>
    </row>
    <row r="3511" ht="15">
      <c r="D3511" s="216"/>
    </row>
    <row r="3512" ht="15">
      <c r="D3512" s="216"/>
    </row>
    <row r="3513" ht="15">
      <c r="D3513" s="216"/>
    </row>
    <row r="3514" ht="15">
      <c r="D3514" s="216"/>
    </row>
    <row r="3515" ht="15">
      <c r="D3515" s="216"/>
    </row>
    <row r="3516" ht="15">
      <c r="D3516" s="216"/>
    </row>
    <row r="3517" ht="15">
      <c r="D3517" s="216"/>
    </row>
    <row r="3518" ht="15">
      <c r="D3518" s="216"/>
    </row>
    <row r="3519" ht="15">
      <c r="D3519" s="216"/>
    </row>
    <row r="3520" ht="15">
      <c r="D3520" s="216"/>
    </row>
    <row r="3521" ht="15">
      <c r="D3521" s="216"/>
    </row>
    <row r="3522" ht="15">
      <c r="D3522" s="216"/>
    </row>
    <row r="3523" ht="15">
      <c r="D3523" s="216"/>
    </row>
    <row r="3524" ht="15">
      <c r="D3524" s="216"/>
    </row>
    <row r="3525" ht="15">
      <c r="D3525" s="216"/>
    </row>
    <row r="3526" ht="15">
      <c r="D3526" s="216"/>
    </row>
    <row r="3527" ht="15">
      <c r="D3527" s="216"/>
    </row>
    <row r="3528" ht="15">
      <c r="D3528" s="216"/>
    </row>
    <row r="3529" ht="15">
      <c r="D3529" s="216"/>
    </row>
    <row r="3530" ht="15">
      <c r="D3530" s="216"/>
    </row>
    <row r="3531" ht="15">
      <c r="D3531" s="216"/>
    </row>
    <row r="3532" ht="15">
      <c r="D3532" s="216"/>
    </row>
    <row r="3533" ht="15">
      <c r="D3533" s="216"/>
    </row>
    <row r="3534" ht="15">
      <c r="D3534" s="216"/>
    </row>
    <row r="3535" ht="15">
      <c r="D3535" s="216"/>
    </row>
    <row r="3536" ht="15">
      <c r="D3536" s="216"/>
    </row>
    <row r="3537" ht="15">
      <c r="D3537" s="216"/>
    </row>
    <row r="3538" ht="15">
      <c r="D3538" s="216"/>
    </row>
    <row r="3539" ht="15">
      <c r="D3539" s="216"/>
    </row>
    <row r="3540" ht="15">
      <c r="D3540" s="216"/>
    </row>
    <row r="3541" ht="15">
      <c r="D3541" s="216"/>
    </row>
    <row r="3542" ht="15">
      <c r="D3542" s="216"/>
    </row>
    <row r="3543" ht="15">
      <c r="D3543" s="216"/>
    </row>
    <row r="3544" ht="15">
      <c r="D3544" s="216"/>
    </row>
    <row r="3545" ht="15">
      <c r="D3545" s="216"/>
    </row>
    <row r="3546" ht="15">
      <c r="D3546" s="216"/>
    </row>
    <row r="3547" ht="15">
      <c r="D3547" s="216"/>
    </row>
    <row r="3548" ht="15">
      <c r="D3548" s="216"/>
    </row>
    <row r="3549" ht="15">
      <c r="D3549" s="216"/>
    </row>
    <row r="3550" ht="15">
      <c r="D3550" s="216"/>
    </row>
    <row r="3551" ht="15">
      <c r="D3551" s="216"/>
    </row>
    <row r="3552" ht="15">
      <c r="D3552" s="216"/>
    </row>
    <row r="3553" ht="15">
      <c r="D3553" s="216"/>
    </row>
    <row r="3554" ht="15">
      <c r="D3554" s="216"/>
    </row>
    <row r="3555" ht="15">
      <c r="D3555" s="216"/>
    </row>
    <row r="3556" ht="15">
      <c r="D3556" s="216"/>
    </row>
    <row r="3557" ht="15">
      <c r="D3557" s="216"/>
    </row>
    <row r="3558" ht="15">
      <c r="D3558" s="216"/>
    </row>
    <row r="3559" ht="15">
      <c r="D3559" s="216"/>
    </row>
    <row r="3560" ht="15">
      <c r="D3560" s="216"/>
    </row>
    <row r="3561" ht="15">
      <c r="D3561" s="216"/>
    </row>
    <row r="3562" ht="15">
      <c r="D3562" s="216"/>
    </row>
    <row r="3563" ht="15">
      <c r="D3563" s="216"/>
    </row>
    <row r="3564" ht="15">
      <c r="D3564" s="216"/>
    </row>
    <row r="3565" ht="15">
      <c r="D3565" s="216"/>
    </row>
    <row r="3566" ht="15">
      <c r="D3566" s="216"/>
    </row>
    <row r="3567" ht="15">
      <c r="D3567" s="216"/>
    </row>
    <row r="3568" ht="15">
      <c r="D3568" s="216"/>
    </row>
    <row r="3569" ht="15">
      <c r="D3569" s="216"/>
    </row>
    <row r="3570" ht="15">
      <c r="D3570" s="216"/>
    </row>
    <row r="3571" ht="15">
      <c r="D3571" s="216"/>
    </row>
    <row r="3572" ht="15">
      <c r="D3572" s="216"/>
    </row>
    <row r="3573" ht="15">
      <c r="D3573" s="216"/>
    </row>
    <row r="3574" ht="15">
      <c r="D3574" s="216"/>
    </row>
    <row r="3575" ht="15">
      <c r="D3575" s="216"/>
    </row>
    <row r="3576" ht="15">
      <c r="D3576" s="216"/>
    </row>
    <row r="3577" ht="15">
      <c r="D3577" s="216"/>
    </row>
    <row r="3578" ht="15">
      <c r="D3578" s="216"/>
    </row>
    <row r="3579" ht="15">
      <c r="D3579" s="216"/>
    </row>
    <row r="3580" ht="15">
      <c r="D3580" s="216"/>
    </row>
    <row r="3581" ht="15">
      <c r="D3581" s="216"/>
    </row>
    <row r="3582" ht="15">
      <c r="D3582" s="216"/>
    </row>
    <row r="3583" ht="15">
      <c r="D3583" s="216"/>
    </row>
    <row r="3584" ht="15">
      <c r="D3584" s="216"/>
    </row>
    <row r="3585" ht="15">
      <c r="D3585" s="216"/>
    </row>
    <row r="3586" ht="15">
      <c r="D3586" s="216"/>
    </row>
    <row r="3587" ht="15">
      <c r="D3587" s="216"/>
    </row>
    <row r="3588" ht="15">
      <c r="D3588" s="216"/>
    </row>
    <row r="3589" ht="15">
      <c r="D3589" s="216"/>
    </row>
    <row r="3590" ht="15">
      <c r="D3590" s="216"/>
    </row>
    <row r="3591" ht="15">
      <c r="D3591" s="216"/>
    </row>
    <row r="3592" ht="15">
      <c r="D3592" s="216"/>
    </row>
    <row r="3593" ht="15">
      <c r="D3593" s="216"/>
    </row>
    <row r="3594" ht="15">
      <c r="D3594" s="216"/>
    </row>
    <row r="3595" ht="15">
      <c r="D3595" s="216"/>
    </row>
    <row r="3596" ht="15">
      <c r="D3596" s="216"/>
    </row>
    <row r="3597" ht="15">
      <c r="D3597" s="216"/>
    </row>
    <row r="3598" ht="15">
      <c r="D3598" s="216"/>
    </row>
    <row r="3599" ht="15">
      <c r="D3599" s="216"/>
    </row>
    <row r="3600" ht="15">
      <c r="D3600" s="216"/>
    </row>
    <row r="3601" ht="15">
      <c r="D3601" s="216"/>
    </row>
    <row r="3602" ht="15">
      <c r="D3602" s="216"/>
    </row>
    <row r="3603" ht="15">
      <c r="D3603" s="216"/>
    </row>
    <row r="3604" ht="15">
      <c r="D3604" s="216"/>
    </row>
    <row r="3605" ht="15">
      <c r="D3605" s="216"/>
    </row>
    <row r="3606" ht="15">
      <c r="D3606" s="216"/>
    </row>
    <row r="3607" ht="15">
      <c r="D3607" s="216"/>
    </row>
    <row r="3608" ht="15">
      <c r="D3608" s="216"/>
    </row>
    <row r="3609" ht="15">
      <c r="D3609" s="216"/>
    </row>
    <row r="3610" ht="15">
      <c r="D3610" s="216"/>
    </row>
    <row r="3611" ht="15">
      <c r="D3611" s="216"/>
    </row>
    <row r="3612" ht="15">
      <c r="D3612" s="216"/>
    </row>
    <row r="3613" ht="15">
      <c r="D3613" s="216"/>
    </row>
    <row r="3614" ht="15">
      <c r="D3614" s="216"/>
    </row>
    <row r="3615" ht="15">
      <c r="D3615" s="216"/>
    </row>
    <row r="3616" ht="15">
      <c r="D3616" s="216"/>
    </row>
    <row r="3617" ht="15">
      <c r="D3617" s="216"/>
    </row>
    <row r="3618" ht="15">
      <c r="D3618" s="216"/>
    </row>
    <row r="3619" ht="15">
      <c r="D3619" s="216"/>
    </row>
    <row r="3620" ht="15">
      <c r="D3620" s="216"/>
    </row>
    <row r="3621" ht="15">
      <c r="D3621" s="216"/>
    </row>
    <row r="3622" ht="15">
      <c r="D3622" s="216"/>
    </row>
    <row r="3623" ht="15">
      <c r="D3623" s="216"/>
    </row>
    <row r="3624" ht="15">
      <c r="D3624" s="216"/>
    </row>
    <row r="3625" ht="15">
      <c r="D3625" s="216"/>
    </row>
    <row r="3626" ht="15">
      <c r="D3626" s="216"/>
    </row>
    <row r="3627" ht="15">
      <c r="D3627" s="216"/>
    </row>
    <row r="3628" ht="15">
      <c r="D3628" s="216"/>
    </row>
    <row r="3629" ht="15">
      <c r="D3629" s="216"/>
    </row>
    <row r="3630" ht="15">
      <c r="D3630" s="216"/>
    </row>
    <row r="3631" ht="15">
      <c r="D3631" s="216"/>
    </row>
    <row r="3632" ht="15">
      <c r="D3632" s="216"/>
    </row>
    <row r="3633" ht="15">
      <c r="D3633" s="216"/>
    </row>
    <row r="3634" ht="15">
      <c r="D3634" s="216"/>
    </row>
    <row r="3635" ht="15">
      <c r="D3635" s="216"/>
    </row>
    <row r="3636" ht="15">
      <c r="D3636" s="216"/>
    </row>
    <row r="3637" ht="15">
      <c r="D3637" s="216"/>
    </row>
    <row r="3638" ht="15">
      <c r="D3638" s="216"/>
    </row>
    <row r="3639" ht="15">
      <c r="D3639" s="216"/>
    </row>
    <row r="3640" ht="15">
      <c r="D3640" s="216"/>
    </row>
    <row r="3641" ht="15">
      <c r="D3641" s="216"/>
    </row>
    <row r="3642" ht="15">
      <c r="D3642" s="216"/>
    </row>
    <row r="3643" ht="15">
      <c r="D3643" s="216"/>
    </row>
    <row r="3644" ht="15">
      <c r="D3644" s="216"/>
    </row>
    <row r="3645" ht="15">
      <c r="D3645" s="216"/>
    </row>
    <row r="3646" ht="15">
      <c r="D3646" s="216"/>
    </row>
    <row r="3647" ht="15">
      <c r="D3647" s="216"/>
    </row>
    <row r="3648" ht="15">
      <c r="D3648" s="216"/>
    </row>
    <row r="3649" ht="15">
      <c r="D3649" s="216"/>
    </row>
    <row r="3650" ht="15">
      <c r="D3650" s="216"/>
    </row>
    <row r="3651" ht="15">
      <c r="D3651" s="216"/>
    </row>
    <row r="3652" ht="15">
      <c r="D3652" s="216"/>
    </row>
    <row r="3653" ht="15">
      <c r="D3653" s="216"/>
    </row>
    <row r="3654" ht="15">
      <c r="D3654" s="216"/>
    </row>
    <row r="3655" ht="15">
      <c r="D3655" s="216"/>
    </row>
    <row r="3656" ht="15">
      <c r="D3656" s="216"/>
    </row>
    <row r="3657" ht="15">
      <c r="D3657" s="216"/>
    </row>
    <row r="3658" ht="15">
      <c r="D3658" s="216"/>
    </row>
    <row r="3659" ht="15">
      <c r="D3659" s="216"/>
    </row>
    <row r="3660" ht="15">
      <c r="D3660" s="216"/>
    </row>
    <row r="3661" ht="15">
      <c r="D3661" s="216"/>
    </row>
    <row r="3662" ht="15">
      <c r="D3662" s="216"/>
    </row>
    <row r="3663" ht="15">
      <c r="D3663" s="216"/>
    </row>
    <row r="3664" ht="15">
      <c r="D3664" s="216"/>
    </row>
    <row r="3665" ht="15">
      <c r="D3665" s="216"/>
    </row>
    <row r="3666" ht="15">
      <c r="D3666" s="216"/>
    </row>
    <row r="3667" ht="15">
      <c r="D3667" s="216"/>
    </row>
    <row r="3668" ht="15">
      <c r="D3668" s="216"/>
    </row>
    <row r="3669" ht="15">
      <c r="D3669" s="216"/>
    </row>
    <row r="3670" ht="15">
      <c r="D3670" s="216"/>
    </row>
    <row r="3671" ht="15">
      <c r="D3671" s="216"/>
    </row>
    <row r="3672" ht="15">
      <c r="D3672" s="216"/>
    </row>
    <row r="3673" ht="15">
      <c r="D3673" s="216"/>
    </row>
    <row r="3674" ht="15">
      <c r="D3674" s="216"/>
    </row>
    <row r="3675" ht="15">
      <c r="D3675" s="216"/>
    </row>
    <row r="3676" ht="15">
      <c r="D3676" s="216"/>
    </row>
    <row r="3677" ht="15">
      <c r="D3677" s="216"/>
    </row>
    <row r="3678" ht="15">
      <c r="D3678" s="216"/>
    </row>
    <row r="3679" ht="15">
      <c r="D3679" s="216"/>
    </row>
    <row r="3680" ht="15">
      <c r="D3680" s="216"/>
    </row>
    <row r="3681" ht="15">
      <c r="D3681" s="216"/>
    </row>
    <row r="3682" ht="15">
      <c r="D3682" s="216"/>
    </row>
    <row r="3683" ht="15">
      <c r="D3683" s="216"/>
    </row>
    <row r="3684" ht="15">
      <c r="D3684" s="216"/>
    </row>
    <row r="3685" ht="15">
      <c r="D3685" s="216"/>
    </row>
    <row r="3686" ht="15">
      <c r="D3686" s="216"/>
    </row>
    <row r="3687" ht="15">
      <c r="D3687" s="216"/>
    </row>
    <row r="3688" ht="15">
      <c r="D3688" s="216"/>
    </row>
    <row r="3689" ht="15">
      <c r="D3689" s="216"/>
    </row>
    <row r="3690" ht="15">
      <c r="D3690" s="216"/>
    </row>
    <row r="3691" ht="15">
      <c r="D3691" s="216"/>
    </row>
    <row r="3692" ht="15">
      <c r="D3692" s="216"/>
    </row>
    <row r="3693" ht="15">
      <c r="D3693" s="216"/>
    </row>
    <row r="3694" ht="15">
      <c r="D3694" s="216"/>
    </row>
    <row r="3695" ht="15">
      <c r="D3695" s="216"/>
    </row>
    <row r="3696" ht="15">
      <c r="D3696" s="216"/>
    </row>
    <row r="3697" ht="15">
      <c r="D3697" s="216"/>
    </row>
    <row r="3698" ht="15">
      <c r="D3698" s="216"/>
    </row>
    <row r="3699" ht="15">
      <c r="D3699" s="216"/>
    </row>
    <row r="3700" ht="15">
      <c r="D3700" s="216"/>
    </row>
    <row r="3701" ht="15">
      <c r="D3701" s="216"/>
    </row>
    <row r="3702" ht="15">
      <c r="D3702" s="216"/>
    </row>
    <row r="3703" ht="15">
      <c r="D3703" s="216"/>
    </row>
    <row r="3704" ht="15">
      <c r="D3704" s="216"/>
    </row>
    <row r="3705" ht="15">
      <c r="D3705" s="216"/>
    </row>
    <row r="3706" ht="15">
      <c r="D3706" s="216"/>
    </row>
    <row r="3707" ht="15">
      <c r="D3707" s="216"/>
    </row>
    <row r="3708" ht="15">
      <c r="D3708" s="216"/>
    </row>
    <row r="3709" ht="15">
      <c r="D3709" s="216"/>
    </row>
    <row r="3710" ht="15">
      <c r="D3710" s="216"/>
    </row>
    <row r="3711" ht="15">
      <c r="D3711" s="216"/>
    </row>
    <row r="3712" ht="15">
      <c r="D3712" s="216"/>
    </row>
    <row r="3713" ht="15">
      <c r="D3713" s="216"/>
    </row>
    <row r="3714" ht="15">
      <c r="D3714" s="216"/>
    </row>
    <row r="3715" ht="15">
      <c r="D3715" s="216"/>
    </row>
    <row r="3716" ht="15">
      <c r="D3716" s="216"/>
    </row>
    <row r="3717" ht="15">
      <c r="D3717" s="216"/>
    </row>
    <row r="3718" ht="15">
      <c r="D3718" s="216"/>
    </row>
    <row r="3719" ht="15">
      <c r="D3719" s="216"/>
    </row>
    <row r="3720" ht="15">
      <c r="D3720" s="216"/>
    </row>
    <row r="3721" ht="15">
      <c r="D3721" s="216"/>
    </row>
    <row r="3722" ht="15">
      <c r="D3722" s="216"/>
    </row>
    <row r="3723" ht="15">
      <c r="D3723" s="216"/>
    </row>
    <row r="3724" ht="15">
      <c r="D3724" s="216"/>
    </row>
    <row r="3725" ht="15">
      <c r="D3725" s="216"/>
    </row>
    <row r="3726" ht="15">
      <c r="D3726" s="216"/>
    </row>
    <row r="3727" ht="15">
      <c r="D3727" s="216"/>
    </row>
    <row r="3728" ht="15">
      <c r="D3728" s="216"/>
    </row>
    <row r="3729" ht="15">
      <c r="D3729" s="216"/>
    </row>
    <row r="3730" ht="15">
      <c r="D3730" s="216"/>
    </row>
    <row r="3731" ht="15">
      <c r="D3731" s="216"/>
    </row>
    <row r="3732" ht="15">
      <c r="D3732" s="216"/>
    </row>
    <row r="3733" ht="15">
      <c r="D3733" s="216"/>
    </row>
    <row r="3734" ht="15">
      <c r="D3734" s="216"/>
    </row>
    <row r="3735" ht="15">
      <c r="D3735" s="216"/>
    </row>
    <row r="3736" ht="15">
      <c r="D3736" s="216"/>
    </row>
    <row r="3737" ht="15">
      <c r="D3737" s="216"/>
    </row>
    <row r="3738" ht="15">
      <c r="D3738" s="216"/>
    </row>
    <row r="3739" ht="15">
      <c r="D3739" s="216"/>
    </row>
    <row r="3740" ht="15">
      <c r="D3740" s="216"/>
    </row>
    <row r="3741" ht="15">
      <c r="D3741" s="216"/>
    </row>
    <row r="3742" ht="15">
      <c r="D3742" s="216"/>
    </row>
    <row r="3743" ht="15">
      <c r="D3743" s="216"/>
    </row>
    <row r="3744" ht="15">
      <c r="D3744" s="216"/>
    </row>
    <row r="3745" ht="15">
      <c r="D3745" s="216"/>
    </row>
    <row r="3746" ht="15">
      <c r="D3746" s="216"/>
    </row>
    <row r="3747" ht="15">
      <c r="D3747" s="216"/>
    </row>
    <row r="3748" ht="15">
      <c r="D3748" s="216"/>
    </row>
    <row r="3749" ht="15">
      <c r="D3749" s="216"/>
    </row>
    <row r="3750" ht="15">
      <c r="D3750" s="216"/>
    </row>
    <row r="3751" ht="15">
      <c r="D3751" s="216"/>
    </row>
    <row r="3752" ht="15">
      <c r="D3752" s="216"/>
    </row>
    <row r="3753" ht="15">
      <c r="D3753" s="216"/>
    </row>
    <row r="3754" ht="15">
      <c r="D3754" s="216"/>
    </row>
    <row r="3755" ht="15">
      <c r="D3755" s="216"/>
    </row>
    <row r="3756" ht="15">
      <c r="D3756" s="216"/>
    </row>
    <row r="3757" ht="15">
      <c r="D3757" s="216"/>
    </row>
    <row r="3758" ht="15">
      <c r="D3758" s="216"/>
    </row>
    <row r="3759" ht="15">
      <c r="D3759" s="216"/>
    </row>
    <row r="3760" ht="15">
      <c r="D3760" s="216"/>
    </row>
    <row r="3761" ht="15">
      <c r="D3761" s="216"/>
    </row>
    <row r="3762" ht="15">
      <c r="D3762" s="216"/>
    </row>
    <row r="3763" ht="15">
      <c r="D3763" s="216"/>
    </row>
    <row r="3764" ht="15">
      <c r="D3764" s="216"/>
    </row>
    <row r="3765" ht="15">
      <c r="D3765" s="216"/>
    </row>
    <row r="3766" ht="15">
      <c r="D3766" s="216"/>
    </row>
    <row r="3767" ht="15">
      <c r="D3767" s="216"/>
    </row>
    <row r="3768" ht="15">
      <c r="D3768" s="216"/>
    </row>
    <row r="3769" ht="15">
      <c r="D3769" s="216"/>
    </row>
    <row r="3770" ht="15">
      <c r="D3770" s="216"/>
    </row>
    <row r="3771" ht="15">
      <c r="D3771" s="216"/>
    </row>
    <row r="3772" ht="15">
      <c r="D3772" s="216"/>
    </row>
    <row r="3773" ht="15">
      <c r="D3773" s="216"/>
    </row>
    <row r="3774" ht="15">
      <c r="D3774" s="216"/>
    </row>
    <row r="3775" ht="15">
      <c r="D3775" s="216"/>
    </row>
    <row r="3776" ht="15">
      <c r="D3776" s="216"/>
    </row>
    <row r="3777" ht="15">
      <c r="D3777" s="216"/>
    </row>
    <row r="3778" ht="15">
      <c r="D3778" s="216"/>
    </row>
    <row r="3779" ht="15">
      <c r="D3779" s="216"/>
    </row>
    <row r="3780" ht="15">
      <c r="D3780" s="216"/>
    </row>
    <row r="3781" ht="15">
      <c r="D3781" s="216"/>
    </row>
    <row r="3782" ht="15">
      <c r="D3782" s="216"/>
    </row>
    <row r="3783" ht="15">
      <c r="D3783" s="216"/>
    </row>
    <row r="3784" ht="15">
      <c r="D3784" s="216"/>
    </row>
    <row r="3785" ht="15">
      <c r="D3785" s="216"/>
    </row>
    <row r="3786" ht="15">
      <c r="D3786" s="216"/>
    </row>
    <row r="3787" ht="15">
      <c r="D3787" s="216"/>
    </row>
    <row r="3788" ht="15">
      <c r="D3788" s="216"/>
    </row>
    <row r="3789" ht="15">
      <c r="D3789" s="216"/>
    </row>
    <row r="3790" ht="15">
      <c r="D3790" s="216"/>
    </row>
    <row r="3791" ht="15">
      <c r="D3791" s="216"/>
    </row>
    <row r="3792" ht="15">
      <c r="D3792" s="216"/>
    </row>
    <row r="3793" ht="15">
      <c r="D3793" s="216"/>
    </row>
    <row r="3794" ht="15">
      <c r="D3794" s="216"/>
    </row>
    <row r="3795" ht="15">
      <c r="D3795" s="216"/>
    </row>
    <row r="3796" ht="15">
      <c r="D3796" s="216"/>
    </row>
    <row r="3797" ht="15">
      <c r="D3797" s="216"/>
    </row>
    <row r="3798" ht="15">
      <c r="D3798" s="216"/>
    </row>
    <row r="3799" ht="15">
      <c r="D3799" s="216"/>
    </row>
    <row r="3800" ht="15">
      <c r="D3800" s="216"/>
    </row>
    <row r="3801" ht="15">
      <c r="D3801" s="216"/>
    </row>
    <row r="3802" ht="15">
      <c r="D3802" s="216"/>
    </row>
    <row r="3803" ht="15">
      <c r="D3803" s="216"/>
    </row>
    <row r="3804" ht="15">
      <c r="D3804" s="216"/>
    </row>
    <row r="3805" ht="15">
      <c r="D3805" s="216"/>
    </row>
    <row r="3806" ht="15">
      <c r="D3806" s="216"/>
    </row>
    <row r="3807" ht="15">
      <c r="D3807" s="216"/>
    </row>
    <row r="3808" ht="15">
      <c r="D3808" s="216"/>
    </row>
    <row r="3809" ht="15">
      <c r="D3809" s="216"/>
    </row>
    <row r="3810" ht="15">
      <c r="D3810" s="216"/>
    </row>
    <row r="3811" ht="15">
      <c r="D3811" s="216"/>
    </row>
    <row r="3812" ht="15">
      <c r="D3812" s="216"/>
    </row>
    <row r="3813" ht="15">
      <c r="D3813" s="216"/>
    </row>
    <row r="3814" ht="15">
      <c r="D3814" s="216"/>
    </row>
    <row r="3815" ht="15">
      <c r="D3815" s="216"/>
    </row>
    <row r="3816" ht="15">
      <c r="D3816" s="216"/>
    </row>
    <row r="3817" ht="15">
      <c r="D3817" s="216"/>
    </row>
    <row r="3818" ht="15">
      <c r="D3818" s="216"/>
    </row>
    <row r="3819" ht="15">
      <c r="D3819" s="216"/>
    </row>
    <row r="3820" ht="15">
      <c r="D3820" s="216"/>
    </row>
    <row r="3821" ht="15">
      <c r="D3821" s="216"/>
    </row>
    <row r="3822" ht="15">
      <c r="D3822" s="216"/>
    </row>
    <row r="3823" ht="15">
      <c r="D3823" s="216"/>
    </row>
    <row r="3824" ht="15">
      <c r="D3824" s="216"/>
    </row>
    <row r="3825" ht="15">
      <c r="D3825" s="216"/>
    </row>
    <row r="3826" ht="15">
      <c r="D3826" s="216"/>
    </row>
    <row r="3827" ht="15">
      <c r="D3827" s="216"/>
    </row>
    <row r="3828" ht="15">
      <c r="D3828" s="216"/>
    </row>
    <row r="3829" ht="15">
      <c r="D3829" s="216"/>
    </row>
    <row r="3830" ht="15">
      <c r="D3830" s="216"/>
    </row>
    <row r="3831" ht="15">
      <c r="D3831" s="216"/>
    </row>
    <row r="3832" ht="15">
      <c r="D3832" s="216"/>
    </row>
    <row r="3833" ht="15">
      <c r="D3833" s="216"/>
    </row>
    <row r="3834" ht="15">
      <c r="D3834" s="216"/>
    </row>
    <row r="3835" ht="15">
      <c r="D3835" s="216"/>
    </row>
    <row r="3836" ht="15">
      <c r="D3836" s="216"/>
    </row>
    <row r="3837" ht="15">
      <c r="D3837" s="216"/>
    </row>
    <row r="3838" ht="15">
      <c r="D3838" s="216"/>
    </row>
    <row r="3839" ht="15">
      <c r="D3839" s="216"/>
    </row>
    <row r="3840" ht="15">
      <c r="D3840" s="216"/>
    </row>
    <row r="3841" ht="15">
      <c r="D3841" s="216"/>
    </row>
    <row r="3842" ht="15">
      <c r="D3842" s="216"/>
    </row>
    <row r="3843" ht="15">
      <c r="D3843" s="216"/>
    </row>
    <row r="3844" ht="15">
      <c r="D3844" s="216"/>
    </row>
    <row r="3845" ht="15">
      <c r="D3845" s="216"/>
    </row>
    <row r="3846" ht="15">
      <c r="D3846" s="216"/>
    </row>
    <row r="3847" ht="15">
      <c r="D3847" s="216"/>
    </row>
    <row r="3848" ht="15">
      <c r="D3848" s="216"/>
    </row>
    <row r="3849" ht="15">
      <c r="D3849" s="216"/>
    </row>
    <row r="3850" ht="15">
      <c r="D3850" s="216"/>
    </row>
    <row r="3851" ht="15">
      <c r="D3851" s="216"/>
    </row>
    <row r="3852" ht="15">
      <c r="D3852" s="216"/>
    </row>
    <row r="3853" ht="15">
      <c r="D3853" s="216"/>
    </row>
    <row r="3854" ht="15">
      <c r="D3854" s="216"/>
    </row>
    <row r="3855" ht="15">
      <c r="D3855" s="216"/>
    </row>
    <row r="3856" ht="15">
      <c r="D3856" s="216"/>
    </row>
    <row r="3857" ht="15">
      <c r="D3857" s="216"/>
    </row>
    <row r="3858" ht="15">
      <c r="D3858" s="216"/>
    </row>
    <row r="3859" ht="15">
      <c r="D3859" s="216"/>
    </row>
    <row r="3860" ht="15">
      <c r="D3860" s="216"/>
    </row>
    <row r="3861" ht="15">
      <c r="D3861" s="216"/>
    </row>
    <row r="3862" ht="15">
      <c r="D3862" s="216"/>
    </row>
    <row r="3863" ht="15">
      <c r="D3863" s="216"/>
    </row>
    <row r="3864" ht="15">
      <c r="D3864" s="216"/>
    </row>
    <row r="3865" ht="15">
      <c r="D3865" s="216"/>
    </row>
    <row r="3866" ht="15">
      <c r="D3866" s="216"/>
    </row>
    <row r="3867" ht="15">
      <c r="D3867" s="216"/>
    </row>
    <row r="3868" ht="15">
      <c r="D3868" s="216"/>
    </row>
    <row r="3869" ht="15">
      <c r="D3869" s="216"/>
    </row>
    <row r="3870" ht="15">
      <c r="D3870" s="216"/>
    </row>
    <row r="3871" ht="15">
      <c r="D3871" s="216"/>
    </row>
    <row r="3872" ht="15">
      <c r="D3872" s="216"/>
    </row>
    <row r="3873" ht="15">
      <c r="D3873" s="216"/>
    </row>
    <row r="3874" ht="15">
      <c r="D3874" s="216"/>
    </row>
    <row r="3875" ht="15">
      <c r="D3875" s="216"/>
    </row>
    <row r="3876" ht="15">
      <c r="D3876" s="216"/>
    </row>
    <row r="3877" ht="15">
      <c r="D3877" s="216"/>
    </row>
    <row r="3878" ht="15">
      <c r="D3878" s="216"/>
    </row>
    <row r="3879" ht="15">
      <c r="D3879" s="216"/>
    </row>
    <row r="3880" ht="15">
      <c r="D3880" s="216"/>
    </row>
    <row r="3881" ht="15">
      <c r="D3881" s="216"/>
    </row>
    <row r="3882" ht="15">
      <c r="D3882" s="216"/>
    </row>
    <row r="3883" ht="15">
      <c r="D3883" s="216"/>
    </row>
    <row r="3884" ht="15">
      <c r="D3884" s="216"/>
    </row>
    <row r="3885" ht="15">
      <c r="D3885" s="216"/>
    </row>
    <row r="3886" ht="15">
      <c r="D3886" s="216"/>
    </row>
    <row r="3887" ht="15">
      <c r="D3887" s="216"/>
    </row>
    <row r="3888" ht="15">
      <c r="D3888" s="216"/>
    </row>
    <row r="3889" ht="15">
      <c r="D3889" s="216"/>
    </row>
    <row r="3890" ht="15">
      <c r="D3890" s="216"/>
    </row>
    <row r="3891" ht="15">
      <c r="D3891" s="216"/>
    </row>
    <row r="3892" ht="15">
      <c r="D3892" s="216"/>
    </row>
    <row r="3893" ht="15">
      <c r="D3893" s="216"/>
    </row>
    <row r="3894" ht="15">
      <c r="D3894" s="216"/>
    </row>
    <row r="3895" ht="15">
      <c r="D3895" s="216"/>
    </row>
    <row r="3896" ht="15">
      <c r="D3896" s="216"/>
    </row>
    <row r="3897" ht="15">
      <c r="D3897" s="216"/>
    </row>
    <row r="3898" ht="15">
      <c r="D3898" s="216"/>
    </row>
    <row r="3899" ht="15">
      <c r="D3899" s="216"/>
    </row>
    <row r="3900" ht="15">
      <c r="D3900" s="216"/>
    </row>
    <row r="3901" ht="15">
      <c r="D3901" s="216"/>
    </row>
    <row r="3902" ht="15">
      <c r="D3902" s="216"/>
    </row>
    <row r="3903" ht="15">
      <c r="D3903" s="216"/>
    </row>
    <row r="3904" ht="15">
      <c r="D3904" s="216"/>
    </row>
    <row r="3905" ht="15">
      <c r="D3905" s="216"/>
    </row>
    <row r="3906" ht="15">
      <c r="D3906" s="216"/>
    </row>
    <row r="3907" ht="15">
      <c r="D3907" s="216"/>
    </row>
    <row r="3908" ht="15">
      <c r="D3908" s="216"/>
    </row>
    <row r="3909" ht="15">
      <c r="D3909" s="216"/>
    </row>
    <row r="3910" ht="15">
      <c r="D3910" s="216"/>
    </row>
    <row r="3911" ht="15">
      <c r="D3911" s="216"/>
    </row>
    <row r="3912" ht="15">
      <c r="D3912" s="216"/>
    </row>
    <row r="3913" ht="15">
      <c r="D3913" s="216"/>
    </row>
    <row r="3914" ht="15">
      <c r="D3914" s="216"/>
    </row>
    <row r="3915" ht="15">
      <c r="D3915" s="216"/>
    </row>
    <row r="3916" ht="15">
      <c r="D3916" s="216"/>
    </row>
    <row r="3917" ht="15">
      <c r="D3917" s="216"/>
    </row>
    <row r="3918" ht="15">
      <c r="D3918" s="216"/>
    </row>
    <row r="3919" ht="15">
      <c r="D3919" s="216"/>
    </row>
    <row r="3920" ht="15">
      <c r="D3920" s="216"/>
    </row>
    <row r="3921" ht="15">
      <c r="D3921" s="216"/>
    </row>
    <row r="3922" ht="15">
      <c r="D3922" s="216"/>
    </row>
    <row r="3923" ht="15">
      <c r="D3923" s="216"/>
    </row>
    <row r="3924" ht="15">
      <c r="D3924" s="216"/>
    </row>
    <row r="3925" ht="15">
      <c r="D3925" s="216"/>
    </row>
    <row r="3926" ht="15">
      <c r="D3926" s="216"/>
    </row>
    <row r="3927" ht="15">
      <c r="D3927" s="216"/>
    </row>
    <row r="3928" ht="15">
      <c r="D3928" s="216"/>
    </row>
    <row r="3929" ht="15">
      <c r="D3929" s="216"/>
    </row>
    <row r="3930" ht="15">
      <c r="D3930" s="216"/>
    </row>
    <row r="3931" ht="15">
      <c r="D3931" s="216"/>
    </row>
    <row r="3932" ht="15">
      <c r="D3932" s="216"/>
    </row>
    <row r="3933" ht="15">
      <c r="D3933" s="216"/>
    </row>
    <row r="3934" ht="15">
      <c r="D3934" s="216"/>
    </row>
    <row r="3935" ht="15">
      <c r="D3935" s="216"/>
    </row>
    <row r="3936" ht="15">
      <c r="D3936" s="216"/>
    </row>
    <row r="3937" ht="15">
      <c r="D3937" s="216"/>
    </row>
    <row r="3938" ht="15">
      <c r="D3938" s="216"/>
    </row>
    <row r="3939" ht="15">
      <c r="D3939" s="216"/>
    </row>
    <row r="3940" ht="15">
      <c r="D3940" s="216"/>
    </row>
    <row r="3941" ht="15">
      <c r="D3941" s="216"/>
    </row>
    <row r="3942" ht="15">
      <c r="D3942" s="216"/>
    </row>
    <row r="3943" ht="15">
      <c r="D3943" s="216"/>
    </row>
    <row r="3944" ht="15">
      <c r="D3944" s="216"/>
    </row>
    <row r="3945" ht="15">
      <c r="D3945" s="216"/>
    </row>
    <row r="3946" ht="15">
      <c r="D3946" s="216"/>
    </row>
    <row r="3947" ht="15">
      <c r="D3947" s="216"/>
    </row>
    <row r="3948" ht="15">
      <c r="D3948" s="216"/>
    </row>
    <row r="3949" ht="15">
      <c r="D3949" s="216"/>
    </row>
    <row r="3950" ht="15">
      <c r="D3950" s="216"/>
    </row>
    <row r="3951" ht="15">
      <c r="D3951" s="216"/>
    </row>
    <row r="3952" ht="15">
      <c r="D3952" s="216"/>
    </row>
    <row r="3953" ht="15">
      <c r="D3953" s="216"/>
    </row>
    <row r="3954" ht="15">
      <c r="D3954" s="216"/>
    </row>
    <row r="3955" ht="15">
      <c r="D3955" s="216"/>
    </row>
    <row r="3956" ht="15">
      <c r="D3956" s="216"/>
    </row>
    <row r="3957" ht="15">
      <c r="D3957" s="216"/>
    </row>
    <row r="3958" ht="15">
      <c r="D3958" s="216"/>
    </row>
    <row r="3959" ht="15">
      <c r="D3959" s="216"/>
    </row>
    <row r="3960" ht="15">
      <c r="D3960" s="216"/>
    </row>
    <row r="3961" ht="15">
      <c r="D3961" s="216"/>
    </row>
    <row r="3962" ht="15">
      <c r="D3962" s="216"/>
    </row>
    <row r="3963" ht="15">
      <c r="D3963" s="216"/>
    </row>
    <row r="3964" ht="15">
      <c r="D3964" s="216"/>
    </row>
    <row r="3965" ht="15">
      <c r="D3965" s="216"/>
    </row>
    <row r="3966" ht="15">
      <c r="D3966" s="216"/>
    </row>
    <row r="3967" ht="15">
      <c r="D3967" s="216"/>
    </row>
    <row r="3968" ht="15">
      <c r="D3968" s="216"/>
    </row>
    <row r="3969" ht="15">
      <c r="D3969" s="216"/>
    </row>
    <row r="3970" ht="15">
      <c r="D3970" s="216"/>
    </row>
    <row r="3971" ht="15">
      <c r="D3971" s="216"/>
    </row>
    <row r="3972" ht="15">
      <c r="D3972" s="216"/>
    </row>
    <row r="3973" ht="15">
      <c r="D3973" s="216"/>
    </row>
    <row r="3974" ht="15">
      <c r="D3974" s="216"/>
    </row>
    <row r="3975" ht="15">
      <c r="D3975" s="216"/>
    </row>
    <row r="3976" ht="15">
      <c r="D3976" s="216"/>
    </row>
    <row r="3977" ht="15">
      <c r="D3977" s="216"/>
    </row>
    <row r="3978" ht="15">
      <c r="D3978" s="216"/>
    </row>
    <row r="3979" ht="15">
      <c r="D3979" s="216"/>
    </row>
    <row r="3980" ht="15">
      <c r="D3980" s="216"/>
    </row>
    <row r="3981" ht="15">
      <c r="D3981" s="216"/>
    </row>
    <row r="3982" ht="15">
      <c r="D3982" s="216"/>
    </row>
    <row r="3983" ht="15">
      <c r="D3983" s="216"/>
    </row>
    <row r="3984" ht="15">
      <c r="D3984" s="216"/>
    </row>
    <row r="3985" ht="15">
      <c r="D3985" s="216"/>
    </row>
    <row r="3986" ht="15">
      <c r="D3986" s="216"/>
    </row>
    <row r="3987" ht="15">
      <c r="D3987" s="216"/>
    </row>
    <row r="3988" ht="15">
      <c r="D3988" s="216"/>
    </row>
    <row r="3989" ht="15">
      <c r="D3989" s="216"/>
    </row>
    <row r="3990" ht="15">
      <c r="D3990" s="216"/>
    </row>
    <row r="3991" ht="15">
      <c r="D3991" s="216"/>
    </row>
    <row r="3992" ht="15">
      <c r="D3992" s="216"/>
    </row>
    <row r="3993" ht="15">
      <c r="D3993" s="216"/>
    </row>
    <row r="3994" ht="15">
      <c r="D3994" s="216"/>
    </row>
    <row r="3995" ht="15">
      <c r="D3995" s="216"/>
    </row>
    <row r="3996" ht="15">
      <c r="D3996" s="216"/>
    </row>
    <row r="3997" ht="15">
      <c r="D3997" s="216"/>
    </row>
    <row r="3998" ht="15">
      <c r="D3998" s="216"/>
    </row>
    <row r="3999" ht="15">
      <c r="D3999" s="216"/>
    </row>
    <row r="4000" ht="15">
      <c r="D4000" s="216"/>
    </row>
    <row r="4001" ht="15">
      <c r="D4001" s="216"/>
    </row>
    <row r="4002" ht="15">
      <c r="D4002" s="216"/>
    </row>
    <row r="4003" ht="15">
      <c r="D4003" s="216"/>
    </row>
    <row r="4004" ht="15">
      <c r="D4004" s="216"/>
    </row>
    <row r="4005" ht="15">
      <c r="D4005" s="216"/>
    </row>
    <row r="4006" ht="15">
      <c r="D4006" s="216"/>
    </row>
    <row r="4007" ht="15">
      <c r="D4007" s="216"/>
    </row>
    <row r="4008" ht="15">
      <c r="D4008" s="216"/>
    </row>
    <row r="4009" ht="15">
      <c r="D4009" s="216"/>
    </row>
    <row r="4010" ht="15">
      <c r="D4010" s="216"/>
    </row>
    <row r="4011" ht="15">
      <c r="D4011" s="216"/>
    </row>
    <row r="4012" ht="15">
      <c r="D4012" s="216"/>
    </row>
    <row r="4013" ht="15">
      <c r="D4013" s="216"/>
    </row>
    <row r="4014" ht="15">
      <c r="D4014" s="216"/>
    </row>
    <row r="4015" ht="15">
      <c r="D4015" s="216"/>
    </row>
    <row r="4016" ht="15">
      <c r="D4016" s="216"/>
    </row>
    <row r="4017" ht="15">
      <c r="D4017" s="216"/>
    </row>
    <row r="4018" ht="15">
      <c r="D4018" s="216"/>
    </row>
    <row r="4019" ht="15">
      <c r="D4019" s="216"/>
    </row>
    <row r="4020" ht="15">
      <c r="D4020" s="216"/>
    </row>
    <row r="4021" ht="15">
      <c r="D4021" s="216"/>
    </row>
    <row r="4022" ht="15">
      <c r="D4022" s="216"/>
    </row>
    <row r="4023" ht="15">
      <c r="D4023" s="216"/>
    </row>
    <row r="4024" ht="15">
      <c r="D4024" s="216"/>
    </row>
    <row r="4025" ht="15">
      <c r="D4025" s="216"/>
    </row>
    <row r="4026" ht="15">
      <c r="D4026" s="216"/>
    </row>
    <row r="4027" ht="15">
      <c r="D4027" s="216"/>
    </row>
    <row r="4028" ht="15">
      <c r="D4028" s="216"/>
    </row>
    <row r="4029" ht="15">
      <c r="D4029" s="216"/>
    </row>
    <row r="4030" ht="15">
      <c r="D4030" s="216"/>
    </row>
    <row r="4031" ht="15">
      <c r="D4031" s="216"/>
    </row>
    <row r="4032" ht="15">
      <c r="D4032" s="216"/>
    </row>
    <row r="4033" ht="15">
      <c r="D4033" s="216"/>
    </row>
    <row r="4034" ht="15">
      <c r="D4034" s="216"/>
    </row>
    <row r="4035" ht="15">
      <c r="D4035" s="216"/>
    </row>
    <row r="4036" ht="15">
      <c r="D4036" s="216"/>
    </row>
    <row r="4037" ht="15">
      <c r="D4037" s="216"/>
    </row>
    <row r="4038" ht="15">
      <c r="D4038" s="216"/>
    </row>
    <row r="4039" ht="15">
      <c r="D4039" s="216"/>
    </row>
    <row r="4040" ht="15">
      <c r="D4040" s="216"/>
    </row>
    <row r="4041" ht="15">
      <c r="D4041" s="216"/>
    </row>
    <row r="4042" ht="15">
      <c r="D4042" s="216"/>
    </row>
    <row r="4043" ht="15">
      <c r="D4043" s="216"/>
    </row>
    <row r="4044" ht="15">
      <c r="D4044" s="216"/>
    </row>
    <row r="4045" ht="15">
      <c r="D4045" s="216"/>
    </row>
    <row r="4046" ht="15">
      <c r="D4046" s="216"/>
    </row>
    <row r="4047" ht="15">
      <c r="D4047" s="216"/>
    </row>
    <row r="4048" ht="15">
      <c r="D4048" s="216"/>
    </row>
    <row r="4049" ht="15">
      <c r="D4049" s="216"/>
    </row>
    <row r="4050" ht="15">
      <c r="D4050" s="216"/>
    </row>
    <row r="4051" ht="15">
      <c r="D4051" s="216"/>
    </row>
    <row r="4052" ht="15">
      <c r="D4052" s="216"/>
    </row>
    <row r="4053" ht="15">
      <c r="D4053" s="216"/>
    </row>
    <row r="4054" ht="15">
      <c r="D4054" s="216"/>
    </row>
    <row r="4055" ht="15">
      <c r="D4055" s="216"/>
    </row>
    <row r="4056" ht="15">
      <c r="D4056" s="216"/>
    </row>
    <row r="4057" ht="15">
      <c r="D4057" s="216"/>
    </row>
    <row r="4058" ht="15">
      <c r="D4058" s="216"/>
    </row>
    <row r="4059" ht="15">
      <c r="D4059" s="216"/>
    </row>
    <row r="4060" ht="15">
      <c r="D4060" s="216"/>
    </row>
    <row r="4061" ht="15">
      <c r="D4061" s="216"/>
    </row>
    <row r="4062" ht="15">
      <c r="D4062" s="216"/>
    </row>
    <row r="4063" ht="15">
      <c r="D4063" s="216"/>
    </row>
    <row r="4064" ht="15">
      <c r="D4064" s="216"/>
    </row>
    <row r="4065" ht="15">
      <c r="D4065" s="216"/>
    </row>
    <row r="4066" ht="15">
      <c r="D4066" s="216"/>
    </row>
    <row r="4067" ht="15">
      <c r="D4067" s="216"/>
    </row>
    <row r="4068" ht="15">
      <c r="D4068" s="216"/>
    </row>
    <row r="4069" ht="15">
      <c r="D4069" s="216"/>
    </row>
    <row r="4070" ht="15">
      <c r="D4070" s="216"/>
    </row>
    <row r="4071" ht="15">
      <c r="D4071" s="216"/>
    </row>
    <row r="4072" ht="15">
      <c r="D4072" s="216"/>
    </row>
    <row r="4073" ht="15">
      <c r="D4073" s="216"/>
    </row>
    <row r="4074" ht="15">
      <c r="D4074" s="216"/>
    </row>
    <row r="4075" ht="15">
      <c r="D4075" s="216"/>
    </row>
    <row r="4076" ht="15">
      <c r="D4076" s="216"/>
    </row>
    <row r="4077" ht="15">
      <c r="D4077" s="216"/>
    </row>
    <row r="4078" ht="15">
      <c r="D4078" s="216"/>
    </row>
    <row r="4079" ht="15">
      <c r="D4079" s="216"/>
    </row>
    <row r="4080" ht="15">
      <c r="D4080" s="216"/>
    </row>
    <row r="4081" ht="15">
      <c r="D4081" s="216"/>
    </row>
    <row r="4082" ht="15">
      <c r="D4082" s="216"/>
    </row>
    <row r="4083" ht="15">
      <c r="D4083" s="216"/>
    </row>
    <row r="4084" ht="15">
      <c r="D4084" s="216"/>
    </row>
    <row r="4085" ht="15">
      <c r="D4085" s="216"/>
    </row>
    <row r="4086" ht="15">
      <c r="D4086" s="216"/>
    </row>
    <row r="4087" ht="15">
      <c r="D4087" s="216"/>
    </row>
    <row r="4088" ht="15">
      <c r="D4088" s="216"/>
    </row>
    <row r="4089" ht="15">
      <c r="D4089" s="216"/>
    </row>
    <row r="4090" ht="15">
      <c r="D4090" s="216"/>
    </row>
    <row r="4091" ht="15">
      <c r="D4091" s="216"/>
    </row>
    <row r="4092" ht="15">
      <c r="D4092" s="216"/>
    </row>
    <row r="4093" ht="15">
      <c r="D4093" s="216"/>
    </row>
    <row r="4094" ht="15">
      <c r="D4094" s="216"/>
    </row>
    <row r="4095" ht="15">
      <c r="D4095" s="216"/>
    </row>
    <row r="4096" ht="15">
      <c r="D4096" s="216"/>
    </row>
    <row r="4097" ht="15">
      <c r="D4097" s="216"/>
    </row>
    <row r="4098" ht="15">
      <c r="D4098" s="216"/>
    </row>
    <row r="4099" ht="15">
      <c r="D4099" s="216"/>
    </row>
    <row r="4100" ht="15">
      <c r="D4100" s="216"/>
    </row>
    <row r="4101" ht="15">
      <c r="D4101" s="216"/>
    </row>
    <row r="4102" ht="15">
      <c r="D4102" s="216"/>
    </row>
    <row r="4103" ht="15">
      <c r="D4103" s="216"/>
    </row>
    <row r="4104" ht="15">
      <c r="D4104" s="216"/>
    </row>
    <row r="4105" ht="15">
      <c r="D4105" s="216"/>
    </row>
    <row r="4106" ht="15">
      <c r="D4106" s="216"/>
    </row>
    <row r="4107" ht="15">
      <c r="D4107" s="216"/>
    </row>
    <row r="4108" ht="15">
      <c r="D4108" s="216"/>
    </row>
    <row r="4109" ht="15">
      <c r="D4109" s="216"/>
    </row>
    <row r="4110" ht="15">
      <c r="D4110" s="216"/>
    </row>
    <row r="4111" ht="15">
      <c r="D4111" s="216"/>
    </row>
    <row r="4112" ht="15">
      <c r="D4112" s="216"/>
    </row>
    <row r="4113" ht="15">
      <c r="D4113" s="216"/>
    </row>
    <row r="4114" ht="15">
      <c r="D4114" s="216"/>
    </row>
    <row r="4115" ht="15">
      <c r="D4115" s="216"/>
    </row>
    <row r="4116" ht="15">
      <c r="D4116" s="216"/>
    </row>
    <row r="4117" ht="15">
      <c r="D4117" s="216"/>
    </row>
    <row r="4118" ht="15">
      <c r="D4118" s="216"/>
    </row>
    <row r="4119" ht="15">
      <c r="D4119" s="216"/>
    </row>
    <row r="4120" ht="15">
      <c r="D4120" s="216"/>
    </row>
    <row r="4121" ht="15">
      <c r="D4121" s="216"/>
    </row>
    <row r="4122" ht="15">
      <c r="D4122" s="216"/>
    </row>
    <row r="4123" ht="15">
      <c r="D4123" s="216"/>
    </row>
    <row r="4124" ht="15">
      <c r="D4124" s="216"/>
    </row>
    <row r="4125" ht="15">
      <c r="D4125" s="216"/>
    </row>
    <row r="4126" ht="15">
      <c r="D4126" s="216"/>
    </row>
    <row r="4127" ht="15">
      <c r="D4127" s="216"/>
    </row>
    <row r="4128" ht="15">
      <c r="D4128" s="216"/>
    </row>
    <row r="4129" ht="15">
      <c r="D4129" s="216"/>
    </row>
    <row r="4130" ht="15">
      <c r="D4130" s="216"/>
    </row>
    <row r="4131" ht="15">
      <c r="D4131" s="216"/>
    </row>
    <row r="4132" ht="15">
      <c r="D4132" s="216"/>
    </row>
    <row r="4133" ht="15">
      <c r="D4133" s="216"/>
    </row>
    <row r="4134" ht="15">
      <c r="D4134" s="216"/>
    </row>
    <row r="4135" ht="15">
      <c r="D4135" s="216"/>
    </row>
    <row r="4136" ht="15">
      <c r="D4136" s="216"/>
    </row>
    <row r="4137" ht="15">
      <c r="D4137" s="216"/>
    </row>
    <row r="4138" ht="15">
      <c r="D4138" s="216"/>
    </row>
    <row r="4139" ht="15">
      <c r="D4139" s="216"/>
    </row>
    <row r="4140" ht="15">
      <c r="D4140" s="216"/>
    </row>
    <row r="4141" ht="15">
      <c r="D4141" s="216"/>
    </row>
    <row r="4142" ht="15">
      <c r="D4142" s="216"/>
    </row>
    <row r="4143" ht="15">
      <c r="D4143" s="216"/>
    </row>
    <row r="4144" ht="15">
      <c r="D4144" s="216"/>
    </row>
    <row r="4145" ht="15">
      <c r="D4145" s="216"/>
    </row>
    <row r="4146" ht="15">
      <c r="D4146" s="216"/>
    </row>
    <row r="4147" ht="15">
      <c r="D4147" s="216"/>
    </row>
    <row r="4148" ht="15">
      <c r="D4148" s="216"/>
    </row>
    <row r="4149" ht="15">
      <c r="D4149" s="216"/>
    </row>
    <row r="4150" ht="15">
      <c r="D4150" s="216"/>
    </row>
    <row r="4151" ht="15">
      <c r="D4151" s="216"/>
    </row>
    <row r="4152" ht="15">
      <c r="D4152" s="216"/>
    </row>
    <row r="4153" ht="15">
      <c r="D4153" s="216"/>
    </row>
    <row r="4154" ht="15">
      <c r="D4154" s="216"/>
    </row>
    <row r="4155" ht="15">
      <c r="D4155" s="216"/>
    </row>
    <row r="4156" ht="15">
      <c r="D4156" s="216"/>
    </row>
    <row r="4157" ht="15">
      <c r="D4157" s="216"/>
    </row>
    <row r="4158" ht="15">
      <c r="D4158" s="216"/>
    </row>
    <row r="4159" ht="15">
      <c r="D4159" s="216"/>
    </row>
    <row r="4160" ht="15">
      <c r="D4160" s="216"/>
    </row>
    <row r="4161" ht="15">
      <c r="D4161" s="216"/>
    </row>
    <row r="4162" ht="15">
      <c r="D4162" s="216"/>
    </row>
    <row r="4163" ht="15">
      <c r="D4163" s="216"/>
    </row>
    <row r="4164" ht="15">
      <c r="D4164" s="216"/>
    </row>
    <row r="4165" ht="15">
      <c r="D4165" s="216"/>
    </row>
    <row r="4166" ht="15">
      <c r="D4166" s="216"/>
    </row>
    <row r="4167" ht="15">
      <c r="D4167" s="216"/>
    </row>
    <row r="4168" ht="15">
      <c r="D4168" s="216"/>
    </row>
    <row r="4169" ht="15">
      <c r="D4169" s="216"/>
    </row>
    <row r="4170" ht="15">
      <c r="D4170" s="216"/>
    </row>
    <row r="4171" ht="15">
      <c r="D4171" s="216"/>
    </row>
    <row r="4172" ht="15">
      <c r="D4172" s="216"/>
    </row>
    <row r="4173" ht="15">
      <c r="D4173" s="216"/>
    </row>
    <row r="4174" ht="15">
      <c r="D4174" s="216"/>
    </row>
    <row r="4175" ht="15">
      <c r="D4175" s="216"/>
    </row>
    <row r="4176" ht="15">
      <c r="D4176" s="216"/>
    </row>
    <row r="4177" ht="15">
      <c r="D4177" s="216"/>
    </row>
    <row r="4178" ht="15">
      <c r="D4178" s="216"/>
    </row>
    <row r="4179" ht="15">
      <c r="D4179" s="216"/>
    </row>
    <row r="4180" ht="15">
      <c r="D4180" s="216"/>
    </row>
    <row r="4181" ht="15">
      <c r="D4181" s="216"/>
    </row>
    <row r="4182" ht="15">
      <c r="D4182" s="216"/>
    </row>
    <row r="4183" ht="15">
      <c r="D4183" s="216"/>
    </row>
    <row r="4184" ht="15">
      <c r="D4184" s="216"/>
    </row>
    <row r="4185" ht="15">
      <c r="D4185" s="216"/>
    </row>
    <row r="4186" ht="15">
      <c r="D4186" s="216"/>
    </row>
    <row r="4187" ht="15">
      <c r="D4187" s="216"/>
    </row>
    <row r="4188" ht="15">
      <c r="D4188" s="216"/>
    </row>
    <row r="4189" ht="15">
      <c r="D4189" s="216"/>
    </row>
    <row r="4190" ht="15">
      <c r="D4190" s="216"/>
    </row>
    <row r="4191" ht="15">
      <c r="D4191" s="216"/>
    </row>
    <row r="4192" ht="15">
      <c r="D4192" s="216"/>
    </row>
    <row r="4193" ht="15">
      <c r="D4193" s="216"/>
    </row>
    <row r="4194" ht="15">
      <c r="D4194" s="216"/>
    </row>
    <row r="4195" ht="15">
      <c r="D4195" s="216"/>
    </row>
    <row r="4196" ht="15">
      <c r="D4196" s="216"/>
    </row>
    <row r="4197" ht="15">
      <c r="D4197" s="216"/>
    </row>
    <row r="4198" ht="15">
      <c r="D4198" s="216"/>
    </row>
    <row r="4199" ht="15">
      <c r="D4199" s="216"/>
    </row>
    <row r="4200" ht="15">
      <c r="D4200" s="216"/>
    </row>
    <row r="4201" ht="15">
      <c r="D4201" s="216"/>
    </row>
    <row r="4202" ht="15">
      <c r="D4202" s="216"/>
    </row>
    <row r="4203" ht="15">
      <c r="D4203" s="216"/>
    </row>
    <row r="4204" ht="15">
      <c r="D4204" s="216"/>
    </row>
    <row r="4205" ht="15">
      <c r="D4205" s="216"/>
    </row>
    <row r="4206" ht="15">
      <c r="D4206" s="216"/>
    </row>
    <row r="4207" ht="15">
      <c r="D4207" s="216"/>
    </row>
    <row r="4208" ht="15">
      <c r="D4208" s="216"/>
    </row>
    <row r="4209" ht="15">
      <c r="D4209" s="216"/>
    </row>
    <row r="4210" ht="15">
      <c r="D4210" s="216"/>
    </row>
    <row r="4211" ht="15">
      <c r="D4211" s="216"/>
    </row>
    <row r="4212" ht="15">
      <c r="D4212" s="216"/>
    </row>
    <row r="4213" ht="15">
      <c r="D4213" s="216"/>
    </row>
    <row r="4214" ht="15">
      <c r="D4214" s="216"/>
    </row>
    <row r="4215" ht="15">
      <c r="D4215" s="216"/>
    </row>
    <row r="4216" ht="15">
      <c r="D4216" s="216"/>
    </row>
    <row r="4217" ht="15">
      <c r="D4217" s="216"/>
    </row>
    <row r="4218" ht="15">
      <c r="D4218" s="216"/>
    </row>
    <row r="4219" ht="15">
      <c r="D4219" s="216"/>
    </row>
    <row r="4220" ht="15">
      <c r="D4220" s="216"/>
    </row>
    <row r="4221" ht="15">
      <c r="D4221" s="216"/>
    </row>
    <row r="4222" ht="15">
      <c r="D4222" s="216"/>
    </row>
    <row r="4223" ht="15">
      <c r="D4223" s="216"/>
    </row>
    <row r="4224" ht="15">
      <c r="D4224" s="216"/>
    </row>
    <row r="4225" ht="15">
      <c r="D4225" s="216"/>
    </row>
    <row r="4226" ht="15">
      <c r="D4226" s="216"/>
    </row>
    <row r="4227" ht="15">
      <c r="D4227" s="216"/>
    </row>
    <row r="4228" ht="15">
      <c r="D4228" s="216"/>
    </row>
    <row r="4229" ht="15">
      <c r="D4229" s="216"/>
    </row>
    <row r="4230" ht="15">
      <c r="D4230" s="216"/>
    </row>
    <row r="4231" ht="15">
      <c r="D4231" s="216"/>
    </row>
    <row r="4232" ht="15">
      <c r="D4232" s="216"/>
    </row>
    <row r="4233" ht="15">
      <c r="D4233" s="216"/>
    </row>
    <row r="4234" ht="15">
      <c r="D4234" s="216"/>
    </row>
    <row r="4235" ht="15">
      <c r="D4235" s="216"/>
    </row>
    <row r="4236" ht="15">
      <c r="D4236" s="216"/>
    </row>
    <row r="4237" ht="15">
      <c r="D4237" s="216"/>
    </row>
    <row r="4238" ht="15">
      <c r="D4238" s="216"/>
    </row>
    <row r="4239" ht="15">
      <c r="D4239" s="216"/>
    </row>
    <row r="4240" ht="15">
      <c r="D4240" s="216"/>
    </row>
    <row r="4241" ht="15">
      <c r="D4241" s="216"/>
    </row>
    <row r="4242" ht="15">
      <c r="D4242" s="216"/>
    </row>
    <row r="4243" ht="15">
      <c r="D4243" s="216"/>
    </row>
    <row r="4244" ht="15">
      <c r="D4244" s="216"/>
    </row>
    <row r="4245" ht="15">
      <c r="D4245" s="216"/>
    </row>
    <row r="4246" ht="15">
      <c r="D4246" s="216"/>
    </row>
    <row r="4247" ht="15">
      <c r="D4247" s="216"/>
    </row>
    <row r="4248" ht="15">
      <c r="D4248" s="216"/>
    </row>
    <row r="4249" ht="15">
      <c r="D4249" s="216"/>
    </row>
    <row r="4250" ht="15">
      <c r="D4250" s="216"/>
    </row>
    <row r="4251" ht="15">
      <c r="D4251" s="216"/>
    </row>
    <row r="4252" ht="15">
      <c r="D4252" s="216"/>
    </row>
    <row r="4253" ht="15">
      <c r="D4253" s="216"/>
    </row>
    <row r="4254" ht="15">
      <c r="D4254" s="216"/>
    </row>
    <row r="4255" ht="15">
      <c r="D4255" s="216"/>
    </row>
    <row r="4256" ht="15">
      <c r="D4256" s="216"/>
    </row>
    <row r="4257" ht="15">
      <c r="D4257" s="216"/>
    </row>
    <row r="4258" ht="15">
      <c r="D4258" s="216"/>
    </row>
    <row r="4259" ht="15">
      <c r="D4259" s="216"/>
    </row>
    <row r="4260" ht="15">
      <c r="D4260" s="216"/>
    </row>
    <row r="4261" ht="15">
      <c r="D4261" s="216"/>
    </row>
    <row r="4262" ht="15">
      <c r="D4262" s="216"/>
    </row>
    <row r="4263" ht="15">
      <c r="D4263" s="216"/>
    </row>
    <row r="4264" ht="15">
      <c r="D4264" s="216"/>
    </row>
    <row r="4265" ht="15">
      <c r="D4265" s="216"/>
    </row>
    <row r="4266" ht="15">
      <c r="D4266" s="216"/>
    </row>
    <row r="4267" ht="15">
      <c r="D4267" s="216"/>
    </row>
    <row r="4268" ht="15">
      <c r="D4268" s="216"/>
    </row>
    <row r="4269" ht="15">
      <c r="D4269" s="216"/>
    </row>
    <row r="4270" ht="15">
      <c r="D4270" s="216"/>
    </row>
    <row r="4271" ht="15">
      <c r="D4271" s="216"/>
    </row>
    <row r="4272" ht="15">
      <c r="D4272" s="216"/>
    </row>
    <row r="4273" ht="15">
      <c r="D4273" s="216"/>
    </row>
    <row r="4274" ht="15">
      <c r="D4274" s="216"/>
    </row>
    <row r="4275" ht="15">
      <c r="D4275" s="216"/>
    </row>
    <row r="4276" ht="15">
      <c r="D4276" s="216"/>
    </row>
    <row r="4277" ht="15">
      <c r="D4277" s="216"/>
    </row>
    <row r="4278" ht="15">
      <c r="D4278" s="216"/>
    </row>
    <row r="4279" ht="15">
      <c r="D4279" s="216"/>
    </row>
    <row r="4280" ht="15">
      <c r="D4280" s="216"/>
    </row>
    <row r="4281" ht="15">
      <c r="D4281" s="216"/>
    </row>
    <row r="4282" ht="15">
      <c r="D4282" s="216"/>
    </row>
    <row r="4283" ht="15">
      <c r="D4283" s="216"/>
    </row>
    <row r="4284" ht="15">
      <c r="D4284" s="216"/>
    </row>
    <row r="4285" ht="15">
      <c r="D4285" s="216"/>
    </row>
    <row r="4286" ht="15">
      <c r="D4286" s="216"/>
    </row>
    <row r="4287" ht="15">
      <c r="D4287" s="216"/>
    </row>
    <row r="4288" ht="15">
      <c r="D4288" s="216"/>
    </row>
    <row r="4289" ht="15">
      <c r="D4289" s="216"/>
    </row>
    <row r="4290" ht="15">
      <c r="D4290" s="216"/>
    </row>
    <row r="4291" ht="15">
      <c r="D4291" s="216"/>
    </row>
    <row r="4292" ht="15">
      <c r="D4292" s="216"/>
    </row>
    <row r="4293" ht="15">
      <c r="D4293" s="216"/>
    </row>
    <row r="4294" ht="15">
      <c r="D4294" s="216"/>
    </row>
    <row r="4295" ht="15">
      <c r="D4295" s="216"/>
    </row>
    <row r="4296" ht="15">
      <c r="D4296" s="216"/>
    </row>
    <row r="4297" ht="15">
      <c r="D4297" s="216"/>
    </row>
    <row r="4298" ht="15">
      <c r="D4298" s="216"/>
    </row>
    <row r="4299" ht="15">
      <c r="D4299" s="216"/>
    </row>
    <row r="4300" ht="15">
      <c r="D4300" s="216"/>
    </row>
    <row r="4301" ht="15">
      <c r="D4301" s="216"/>
    </row>
    <row r="4302" ht="15">
      <c r="D4302" s="216"/>
    </row>
    <row r="4303" ht="15">
      <c r="D4303" s="216"/>
    </row>
    <row r="4304" ht="15">
      <c r="D4304" s="216"/>
    </row>
    <row r="4305" ht="15">
      <c r="D4305" s="216"/>
    </row>
    <row r="4306" ht="15">
      <c r="D4306" s="216"/>
    </row>
    <row r="4307" ht="15">
      <c r="D4307" s="216"/>
    </row>
    <row r="4308" ht="15">
      <c r="D4308" s="216"/>
    </row>
    <row r="4309" ht="15">
      <c r="D4309" s="216"/>
    </row>
    <row r="4310" ht="15">
      <c r="D4310" s="216"/>
    </row>
    <row r="4311" ht="15">
      <c r="D4311" s="216"/>
    </row>
    <row r="4312" ht="15">
      <c r="D4312" s="216"/>
    </row>
    <row r="4313" ht="15">
      <c r="D4313" s="216"/>
    </row>
    <row r="4314" ht="15">
      <c r="D4314" s="216"/>
    </row>
    <row r="4315" ht="15">
      <c r="D4315" s="216"/>
    </row>
    <row r="4316" ht="15">
      <c r="D4316" s="216"/>
    </row>
    <row r="4317" ht="15">
      <c r="D4317" s="216"/>
    </row>
    <row r="4318" ht="15">
      <c r="D4318" s="216"/>
    </row>
    <row r="4319" ht="15">
      <c r="D4319" s="216"/>
    </row>
    <row r="4320" ht="15">
      <c r="D4320" s="216"/>
    </row>
    <row r="4321" ht="15">
      <c r="D4321" s="216"/>
    </row>
    <row r="4322" ht="15">
      <c r="D4322" s="216"/>
    </row>
    <row r="4323" ht="15">
      <c r="D4323" s="216"/>
    </row>
    <row r="4324" ht="15">
      <c r="D4324" s="216"/>
    </row>
    <row r="4325" ht="15">
      <c r="D4325" s="216"/>
    </row>
    <row r="4326" ht="15">
      <c r="D4326" s="216"/>
    </row>
    <row r="4327" ht="15">
      <c r="D4327" s="216"/>
    </row>
    <row r="4328" ht="15">
      <c r="D4328" s="216"/>
    </row>
    <row r="4329" ht="15">
      <c r="D4329" s="216"/>
    </row>
    <row r="4330" ht="15">
      <c r="D4330" s="216"/>
    </row>
    <row r="4331" ht="15">
      <c r="D4331" s="216"/>
    </row>
    <row r="4332" ht="15">
      <c r="D4332" s="216"/>
    </row>
    <row r="4333" ht="15">
      <c r="D4333" s="216"/>
    </row>
    <row r="4334" ht="15">
      <c r="D4334" s="216"/>
    </row>
    <row r="4335" ht="15">
      <c r="D4335" s="216"/>
    </row>
    <row r="4336" ht="15">
      <c r="D4336" s="216"/>
    </row>
    <row r="4337" ht="15">
      <c r="D4337" s="216"/>
    </row>
    <row r="4338" ht="15">
      <c r="D4338" s="216"/>
    </row>
    <row r="4339" ht="15">
      <c r="D4339" s="216"/>
    </row>
    <row r="4340" ht="15">
      <c r="D4340" s="216"/>
    </row>
    <row r="4341" ht="15">
      <c r="D4341" s="216"/>
    </row>
    <row r="4342" ht="15">
      <c r="D4342" s="216"/>
    </row>
    <row r="4343" ht="15">
      <c r="D4343" s="216"/>
    </row>
    <row r="4344" ht="15">
      <c r="D4344" s="216"/>
    </row>
    <row r="4345" ht="15">
      <c r="D4345" s="216"/>
    </row>
    <row r="4346" ht="15">
      <c r="D4346" s="216"/>
    </row>
    <row r="4347" ht="15">
      <c r="D4347" s="216"/>
    </row>
    <row r="4348" ht="15">
      <c r="D4348" s="216"/>
    </row>
    <row r="4349" ht="15">
      <c r="D4349" s="216"/>
    </row>
    <row r="4350" ht="15">
      <c r="D4350" s="216"/>
    </row>
    <row r="4351" ht="15">
      <c r="D4351" s="216"/>
    </row>
    <row r="4352" ht="15">
      <c r="D4352" s="216"/>
    </row>
    <row r="4353" ht="15">
      <c r="D4353" s="216"/>
    </row>
    <row r="4354" ht="15">
      <c r="D4354" s="216"/>
    </row>
    <row r="4355" ht="15">
      <c r="D4355" s="216"/>
    </row>
    <row r="4356" ht="15">
      <c r="D4356" s="216"/>
    </row>
    <row r="4357" ht="15">
      <c r="D4357" s="216"/>
    </row>
    <row r="4358" ht="15">
      <c r="D4358" s="216"/>
    </row>
    <row r="4359" ht="15">
      <c r="D4359" s="216"/>
    </row>
    <row r="4360" ht="15">
      <c r="D4360" s="216"/>
    </row>
    <row r="4361" ht="15">
      <c r="D4361" s="216"/>
    </row>
    <row r="4362" ht="15">
      <c r="D4362" s="216"/>
    </row>
    <row r="4363" ht="15">
      <c r="D4363" s="216"/>
    </row>
    <row r="4364" ht="15">
      <c r="D4364" s="216"/>
    </row>
    <row r="4365" ht="15">
      <c r="D4365" s="216"/>
    </row>
    <row r="4366" ht="15">
      <c r="D4366" s="216"/>
    </row>
    <row r="4367" ht="15">
      <c r="D4367" s="216"/>
    </row>
    <row r="4368" ht="15">
      <c r="D4368" s="216"/>
    </row>
    <row r="4369" ht="15">
      <c r="D4369" s="216"/>
    </row>
    <row r="4370" ht="15">
      <c r="D4370" s="216"/>
    </row>
    <row r="4371" ht="15">
      <c r="D4371" s="216"/>
    </row>
    <row r="4372" ht="15">
      <c r="D4372" s="216"/>
    </row>
    <row r="4373" ht="15">
      <c r="D4373" s="216"/>
    </row>
    <row r="4374" ht="15">
      <c r="D4374" s="216"/>
    </row>
    <row r="4375" ht="15">
      <c r="D4375" s="216"/>
    </row>
    <row r="4376" ht="15">
      <c r="D4376" s="216"/>
    </row>
    <row r="4377" ht="15">
      <c r="D4377" s="216"/>
    </row>
    <row r="4378" ht="15">
      <c r="D4378" s="216"/>
    </row>
    <row r="4379" ht="15">
      <c r="D4379" s="216"/>
    </row>
    <row r="4380" ht="15">
      <c r="D4380" s="216"/>
    </row>
    <row r="4381" ht="15">
      <c r="D4381" s="216"/>
    </row>
    <row r="4382" ht="15">
      <c r="D4382" s="216"/>
    </row>
    <row r="4383" ht="15">
      <c r="D4383" s="216"/>
    </row>
    <row r="4384" ht="15">
      <c r="D4384" s="216"/>
    </row>
    <row r="4385" ht="15">
      <c r="D4385" s="216"/>
    </row>
    <row r="4386" ht="15">
      <c r="D4386" s="216"/>
    </row>
    <row r="4387" ht="15">
      <c r="D4387" s="216"/>
    </row>
    <row r="4388" ht="15">
      <c r="D4388" s="216"/>
    </row>
    <row r="4389" ht="15">
      <c r="D4389" s="216"/>
    </row>
    <row r="4390" ht="15">
      <c r="D4390" s="216"/>
    </row>
    <row r="4391" ht="15">
      <c r="D4391" s="216"/>
    </row>
    <row r="4392" ht="15">
      <c r="D4392" s="216"/>
    </row>
    <row r="4393" ht="15">
      <c r="D4393" s="216"/>
    </row>
    <row r="4394" ht="15">
      <c r="D4394" s="216"/>
    </row>
    <row r="4395" ht="15">
      <c r="D4395" s="216"/>
    </row>
    <row r="4396" ht="15">
      <c r="D4396" s="216"/>
    </row>
    <row r="4397" ht="15">
      <c r="D4397" s="216"/>
    </row>
    <row r="4398" ht="15">
      <c r="D4398" s="216"/>
    </row>
    <row r="4399" ht="15">
      <c r="D4399" s="216"/>
    </row>
    <row r="4400" ht="15">
      <c r="D4400" s="216"/>
    </row>
    <row r="4401" ht="15">
      <c r="D4401" s="216"/>
    </row>
    <row r="4402" ht="15">
      <c r="D4402" s="216"/>
    </row>
    <row r="4403" ht="15">
      <c r="D4403" s="216"/>
    </row>
    <row r="4404" ht="15">
      <c r="D4404" s="216"/>
    </row>
    <row r="4405" ht="15">
      <c r="D4405" s="216"/>
    </row>
    <row r="4406" ht="15">
      <c r="D4406" s="216"/>
    </row>
    <row r="4407" ht="15">
      <c r="D4407" s="216"/>
    </row>
    <row r="4408" ht="15">
      <c r="D4408" s="216"/>
    </row>
    <row r="4409" ht="15">
      <c r="D4409" s="216"/>
    </row>
    <row r="4410" ht="15">
      <c r="D4410" s="216"/>
    </row>
    <row r="4411" ht="15">
      <c r="D4411" s="216"/>
    </row>
    <row r="4412" ht="15">
      <c r="D4412" s="216"/>
    </row>
    <row r="4413" ht="15">
      <c r="D4413" s="216"/>
    </row>
    <row r="4414" ht="15">
      <c r="D4414" s="216"/>
    </row>
    <row r="4415" ht="15">
      <c r="D4415" s="216"/>
    </row>
    <row r="4416" ht="15">
      <c r="D4416" s="216"/>
    </row>
    <row r="4417" ht="15">
      <c r="D4417" s="216"/>
    </row>
    <row r="4418" ht="15">
      <c r="D4418" s="216"/>
    </row>
    <row r="4419" ht="15">
      <c r="D4419" s="216"/>
    </row>
    <row r="4420" ht="15">
      <c r="D4420" s="216"/>
    </row>
    <row r="4421" ht="15">
      <c r="D4421" s="216"/>
    </row>
    <row r="4422" ht="15">
      <c r="D4422" s="216"/>
    </row>
    <row r="4423" ht="15">
      <c r="D4423" s="216"/>
    </row>
    <row r="4424" ht="15">
      <c r="D4424" s="216"/>
    </row>
    <row r="4425" ht="15">
      <c r="D4425" s="216"/>
    </row>
    <row r="4426" ht="15">
      <c r="D4426" s="216"/>
    </row>
    <row r="4427" ht="15">
      <c r="D4427" s="216"/>
    </row>
    <row r="4428" ht="15">
      <c r="D4428" s="216"/>
    </row>
    <row r="4429" ht="15">
      <c r="D4429" s="216"/>
    </row>
    <row r="4430" ht="15">
      <c r="D4430" s="216"/>
    </row>
    <row r="4431" ht="15">
      <c r="D4431" s="216"/>
    </row>
    <row r="4432" ht="15">
      <c r="D4432" s="216"/>
    </row>
    <row r="4433" ht="15">
      <c r="D4433" s="216"/>
    </row>
    <row r="4434" ht="15">
      <c r="D4434" s="216"/>
    </row>
    <row r="4435" ht="15">
      <c r="D4435" s="216"/>
    </row>
    <row r="4436" ht="15">
      <c r="D4436" s="216"/>
    </row>
    <row r="4437" ht="15">
      <c r="D4437" s="216"/>
    </row>
    <row r="4438" ht="15">
      <c r="D4438" s="216"/>
    </row>
    <row r="4439" ht="15">
      <c r="D4439" s="216"/>
    </row>
    <row r="4440" ht="15">
      <c r="D4440" s="216"/>
    </row>
    <row r="4441" ht="15">
      <c r="D4441" s="216"/>
    </row>
    <row r="4442" ht="15">
      <c r="D4442" s="216"/>
    </row>
    <row r="4443" ht="15">
      <c r="D4443" s="216"/>
    </row>
    <row r="4444" ht="15">
      <c r="D4444" s="216"/>
    </row>
    <row r="4445" ht="15">
      <c r="D4445" s="216"/>
    </row>
    <row r="4446" ht="15">
      <c r="D4446" s="216"/>
    </row>
    <row r="4447" ht="15">
      <c r="D4447" s="216"/>
    </row>
    <row r="4448" ht="15">
      <c r="D4448" s="216"/>
    </row>
    <row r="4449" ht="15">
      <c r="D4449" s="216"/>
    </row>
    <row r="4450" ht="15">
      <c r="D4450" s="216"/>
    </row>
    <row r="4451" ht="15">
      <c r="D4451" s="216"/>
    </row>
    <row r="4452" ht="15">
      <c r="D4452" s="216"/>
    </row>
    <row r="4453" ht="15">
      <c r="D4453" s="216"/>
    </row>
    <row r="4454" ht="15">
      <c r="D4454" s="216"/>
    </row>
    <row r="4455" ht="15">
      <c r="D4455" s="216"/>
    </row>
    <row r="4456" ht="15">
      <c r="D4456" s="216"/>
    </row>
    <row r="4457" ht="15">
      <c r="D4457" s="216"/>
    </row>
    <row r="4458" ht="15">
      <c r="D4458" s="216"/>
    </row>
    <row r="4459" ht="15">
      <c r="D4459" s="216"/>
    </row>
    <row r="4460" ht="15">
      <c r="D4460" s="216"/>
    </row>
    <row r="4461" ht="15">
      <c r="D4461" s="216"/>
    </row>
    <row r="4462" ht="15">
      <c r="D4462" s="216"/>
    </row>
    <row r="4463" ht="15">
      <c r="D4463" s="216"/>
    </row>
    <row r="4464" ht="15">
      <c r="D4464" s="216"/>
    </row>
    <row r="4465" ht="15">
      <c r="D4465" s="216"/>
    </row>
    <row r="4466" ht="15">
      <c r="D4466" s="216"/>
    </row>
    <row r="4467" ht="15">
      <c r="D4467" s="216"/>
    </row>
    <row r="4468" ht="15">
      <c r="D4468" s="216"/>
    </row>
    <row r="4469" ht="15">
      <c r="D4469" s="216"/>
    </row>
    <row r="4470" ht="15">
      <c r="D4470" s="216"/>
    </row>
    <row r="4471" ht="15">
      <c r="D4471" s="216"/>
    </row>
    <row r="4472" ht="15">
      <c r="D4472" s="216"/>
    </row>
    <row r="4473" ht="15">
      <c r="D4473" s="216"/>
    </row>
    <row r="4474" ht="15">
      <c r="D4474" s="216"/>
    </row>
    <row r="4475" ht="15">
      <c r="D4475" s="216"/>
    </row>
    <row r="4476" ht="15">
      <c r="D4476" s="216"/>
    </row>
    <row r="4477" ht="15">
      <c r="D4477" s="216"/>
    </row>
    <row r="4478" ht="15">
      <c r="D4478" s="216"/>
    </row>
    <row r="4479" ht="15">
      <c r="D4479" s="216"/>
    </row>
    <row r="4480" ht="15">
      <c r="D4480" s="216"/>
    </row>
    <row r="4481" ht="15">
      <c r="D4481" s="216"/>
    </row>
    <row r="4482" ht="15">
      <c r="D4482" s="216"/>
    </row>
    <row r="4483" ht="15">
      <c r="D4483" s="216"/>
    </row>
    <row r="4484" ht="15">
      <c r="D4484" s="216"/>
    </row>
    <row r="4485" ht="15">
      <c r="D4485" s="216"/>
    </row>
    <row r="4486" ht="15">
      <c r="D4486" s="216"/>
    </row>
    <row r="4487" ht="15">
      <c r="D4487" s="216"/>
    </row>
    <row r="4488" ht="15">
      <c r="D4488" s="216"/>
    </row>
    <row r="4489" ht="15">
      <c r="D4489" s="216"/>
    </row>
    <row r="4490" ht="15">
      <c r="D4490" s="216"/>
    </row>
    <row r="4491" ht="15">
      <c r="D4491" s="216"/>
    </row>
    <row r="4492" ht="15">
      <c r="D4492" s="216"/>
    </row>
    <row r="4493" ht="15">
      <c r="D4493" s="216"/>
    </row>
    <row r="4494" ht="15">
      <c r="D4494" s="216"/>
    </row>
    <row r="4495" ht="15">
      <c r="D4495" s="216"/>
    </row>
    <row r="4496" ht="15">
      <c r="D4496" s="216"/>
    </row>
    <row r="4497" ht="15">
      <c r="D4497" s="216"/>
    </row>
    <row r="4498" ht="15">
      <c r="D4498" s="216"/>
    </row>
    <row r="4499" ht="15">
      <c r="D4499" s="216"/>
    </row>
    <row r="4500" ht="15">
      <c r="D4500" s="216"/>
    </row>
    <row r="4501" ht="15">
      <c r="D4501" s="216"/>
    </row>
    <row r="4502" ht="15">
      <c r="D4502" s="216"/>
    </row>
    <row r="4503" ht="15">
      <c r="D4503" s="216"/>
    </row>
    <row r="4504" ht="15">
      <c r="D4504" s="216"/>
    </row>
    <row r="4505" ht="15">
      <c r="D4505" s="216"/>
    </row>
    <row r="4506" ht="15">
      <c r="D4506" s="216"/>
    </row>
    <row r="4507" ht="15">
      <c r="D4507" s="216"/>
    </row>
    <row r="4508" ht="15">
      <c r="D4508" s="216"/>
    </row>
    <row r="4509" ht="15">
      <c r="D4509" s="216"/>
    </row>
    <row r="4510" ht="15">
      <c r="D4510" s="216"/>
    </row>
    <row r="4511" ht="15">
      <c r="D4511" s="216"/>
    </row>
    <row r="4512" ht="15">
      <c r="D4512" s="216"/>
    </row>
    <row r="4513" ht="15">
      <c r="D4513" s="216"/>
    </row>
    <row r="4514" ht="15">
      <c r="D4514" s="216"/>
    </row>
    <row r="4515" ht="15">
      <c r="D4515" s="216"/>
    </row>
    <row r="4516" ht="15">
      <c r="D4516" s="216"/>
    </row>
    <row r="4517" ht="15">
      <c r="D4517" s="216"/>
    </row>
    <row r="4518" ht="15">
      <c r="D4518" s="216"/>
    </row>
    <row r="4519" ht="15">
      <c r="D4519" s="216"/>
    </row>
    <row r="4520" ht="15">
      <c r="D4520" s="216"/>
    </row>
    <row r="4521" ht="15">
      <c r="D4521" s="216"/>
    </row>
    <row r="4522" ht="15">
      <c r="D4522" s="216"/>
    </row>
    <row r="4523" ht="15">
      <c r="D4523" s="216"/>
    </row>
    <row r="4524" ht="15">
      <c r="D4524" s="216"/>
    </row>
    <row r="4525" ht="15">
      <c r="D4525" s="216"/>
    </row>
    <row r="4526" ht="15">
      <c r="D4526" s="216"/>
    </row>
    <row r="4527" ht="15">
      <c r="D4527" s="216"/>
    </row>
    <row r="4528" ht="15">
      <c r="D4528" s="216"/>
    </row>
    <row r="4529" ht="15">
      <c r="D4529" s="216"/>
    </row>
    <row r="4530" ht="15">
      <c r="D4530" s="216"/>
    </row>
    <row r="4531" ht="15">
      <c r="D4531" s="216"/>
    </row>
    <row r="4532" ht="15">
      <c r="D4532" s="216"/>
    </row>
    <row r="4533" ht="15">
      <c r="D4533" s="216"/>
    </row>
    <row r="4534" ht="15">
      <c r="D4534" s="216"/>
    </row>
    <row r="4535" ht="15">
      <c r="D4535" s="216"/>
    </row>
    <row r="4536" ht="15">
      <c r="D4536" s="216"/>
    </row>
    <row r="4537" ht="15">
      <c r="D4537" s="216"/>
    </row>
    <row r="4538" ht="15">
      <c r="D4538" s="216"/>
    </row>
    <row r="4539" ht="15">
      <c r="D4539" s="216"/>
    </row>
    <row r="4540" ht="15">
      <c r="D4540" s="216"/>
    </row>
    <row r="4541" ht="15">
      <c r="D4541" s="216"/>
    </row>
    <row r="4542" ht="15">
      <c r="D4542" s="216"/>
    </row>
    <row r="4543" ht="15">
      <c r="D4543" s="216"/>
    </row>
    <row r="4544" ht="15">
      <c r="D4544" s="216"/>
    </row>
    <row r="4545" ht="15">
      <c r="D4545" s="216"/>
    </row>
    <row r="4546" ht="15">
      <c r="D4546" s="216"/>
    </row>
    <row r="4547" ht="15">
      <c r="D4547" s="216"/>
    </row>
    <row r="4548" ht="15">
      <c r="D4548" s="216"/>
    </row>
    <row r="4549" ht="15">
      <c r="D4549" s="216"/>
    </row>
    <row r="4550" ht="15">
      <c r="D4550" s="216"/>
    </row>
    <row r="4551" ht="15">
      <c r="D4551" s="216"/>
    </row>
    <row r="4552" ht="15">
      <c r="D4552" s="216"/>
    </row>
    <row r="4553" ht="15">
      <c r="D4553" s="216"/>
    </row>
    <row r="4554" ht="15">
      <c r="D4554" s="216"/>
    </row>
    <row r="4555" ht="15">
      <c r="D4555" s="216"/>
    </row>
    <row r="4556" ht="15">
      <c r="D4556" s="216"/>
    </row>
    <row r="4557" ht="15">
      <c r="D4557" s="216"/>
    </row>
    <row r="4558" ht="15">
      <c r="D4558" s="216"/>
    </row>
    <row r="4559" ht="15">
      <c r="D4559" s="216"/>
    </row>
    <row r="4560" ht="15">
      <c r="D4560" s="216"/>
    </row>
    <row r="4561" ht="15">
      <c r="D4561" s="216"/>
    </row>
    <row r="4562" ht="15">
      <c r="D4562" s="216"/>
    </row>
    <row r="4563" ht="15">
      <c r="D4563" s="216"/>
    </row>
    <row r="4564" ht="15">
      <c r="D4564" s="216"/>
    </row>
    <row r="4565" ht="15">
      <c r="D4565" s="216"/>
    </row>
    <row r="4566" ht="15">
      <c r="D4566" s="216"/>
    </row>
    <row r="4567" ht="15">
      <c r="D4567" s="216"/>
    </row>
    <row r="4568" ht="15">
      <c r="D4568" s="216"/>
    </row>
    <row r="4569" ht="15">
      <c r="D4569" s="216"/>
    </row>
    <row r="4570" ht="15">
      <c r="D4570" s="216"/>
    </row>
    <row r="4571" ht="15">
      <c r="D4571" s="216"/>
    </row>
    <row r="4572" ht="15">
      <c r="D4572" s="216"/>
    </row>
    <row r="4573" ht="15">
      <c r="D4573" s="216"/>
    </row>
    <row r="4574" ht="15">
      <c r="D4574" s="216"/>
    </row>
    <row r="4575" ht="15">
      <c r="D4575" s="216"/>
    </row>
    <row r="4576" ht="15">
      <c r="D4576" s="216"/>
    </row>
    <row r="4577" ht="15">
      <c r="D4577" s="216"/>
    </row>
    <row r="4578" ht="15">
      <c r="D4578" s="216"/>
    </row>
    <row r="4579" ht="15">
      <c r="D4579" s="216"/>
    </row>
    <row r="4580" ht="15">
      <c r="D4580" s="216"/>
    </row>
    <row r="4581" ht="15">
      <c r="D4581" s="216"/>
    </row>
    <row r="4582" ht="15">
      <c r="D4582" s="216"/>
    </row>
    <row r="4583" ht="15">
      <c r="D4583" s="216"/>
    </row>
    <row r="4584" ht="15">
      <c r="D4584" s="216"/>
    </row>
    <row r="4585" ht="15">
      <c r="D4585" s="216"/>
    </row>
    <row r="4586" ht="15">
      <c r="D4586" s="216"/>
    </row>
    <row r="4587" ht="15">
      <c r="D4587" s="216"/>
    </row>
    <row r="4588" ht="15">
      <c r="D4588" s="216"/>
    </row>
    <row r="4589" ht="15">
      <c r="D4589" s="216"/>
    </row>
    <row r="4590" ht="15">
      <c r="D4590" s="216"/>
    </row>
    <row r="4591" ht="15">
      <c r="D4591" s="216"/>
    </row>
    <row r="4592" ht="15">
      <c r="D4592" s="216"/>
    </row>
    <row r="4593" ht="15">
      <c r="D4593" s="216"/>
    </row>
    <row r="4594" ht="15">
      <c r="D4594" s="216"/>
    </row>
    <row r="4595" ht="15">
      <c r="D4595" s="216"/>
    </row>
    <row r="4596" ht="15">
      <c r="D4596" s="216"/>
    </row>
    <row r="4597" ht="15">
      <c r="D4597" s="216"/>
    </row>
    <row r="4598" ht="15">
      <c r="D4598" s="216"/>
    </row>
    <row r="4599" ht="15">
      <c r="D4599" s="216"/>
    </row>
    <row r="4600" ht="15">
      <c r="D4600" s="216"/>
    </row>
    <row r="4601" ht="15">
      <c r="D4601" s="216"/>
    </row>
    <row r="4602" ht="15">
      <c r="D4602" s="216"/>
    </row>
    <row r="4603" ht="15">
      <c r="D4603" s="216"/>
    </row>
    <row r="4604" ht="15">
      <c r="D4604" s="216"/>
    </row>
    <row r="4605" ht="15">
      <c r="D4605" s="216"/>
    </row>
    <row r="4606" ht="15">
      <c r="D4606" s="216"/>
    </row>
    <row r="4607" ht="15">
      <c r="D4607" s="216"/>
    </row>
    <row r="4608" ht="15">
      <c r="D4608" s="216"/>
    </row>
    <row r="4609" ht="15">
      <c r="D4609" s="216"/>
    </row>
    <row r="4610" ht="15">
      <c r="D4610" s="216"/>
    </row>
    <row r="4611" ht="15">
      <c r="D4611" s="216"/>
    </row>
    <row r="4612" ht="15">
      <c r="D4612" s="216"/>
    </row>
    <row r="4613" ht="15">
      <c r="D4613" s="216"/>
    </row>
    <row r="4614" ht="15">
      <c r="D4614" s="216"/>
    </row>
    <row r="4615" ht="15">
      <c r="D4615" s="216"/>
    </row>
    <row r="4616" ht="15">
      <c r="D4616" s="216"/>
    </row>
    <row r="4617" ht="15">
      <c r="D4617" s="216"/>
    </row>
    <row r="4618" ht="15">
      <c r="D4618" s="216"/>
    </row>
    <row r="4619" ht="15">
      <c r="D4619" s="216"/>
    </row>
    <row r="4620" ht="15">
      <c r="D4620" s="216"/>
    </row>
    <row r="4621" ht="15">
      <c r="D4621" s="216"/>
    </row>
    <row r="4622" ht="15">
      <c r="D4622" s="216"/>
    </row>
    <row r="4623" ht="15">
      <c r="D4623" s="216"/>
    </row>
    <row r="4624" ht="15">
      <c r="D4624" s="216"/>
    </row>
    <row r="4625" ht="15">
      <c r="D4625" s="216"/>
    </row>
    <row r="4626" ht="15">
      <c r="D4626" s="216"/>
    </row>
    <row r="4627" ht="15">
      <c r="D4627" s="216"/>
    </row>
    <row r="4628" ht="15">
      <c r="D4628" s="216"/>
    </row>
    <row r="4629" ht="15">
      <c r="D4629" s="216"/>
    </row>
    <row r="4630" ht="15">
      <c r="D4630" s="216"/>
    </row>
    <row r="4631" ht="15">
      <c r="D4631" s="216"/>
    </row>
    <row r="4632" ht="15">
      <c r="D4632" s="216"/>
    </row>
    <row r="4633" ht="15">
      <c r="D4633" s="216"/>
    </row>
    <row r="4634" ht="15">
      <c r="D4634" s="216"/>
    </row>
    <row r="4635" ht="15">
      <c r="D4635" s="216"/>
    </row>
    <row r="4636" ht="15">
      <c r="D4636" s="216"/>
    </row>
    <row r="4637" ht="15">
      <c r="D4637" s="216"/>
    </row>
    <row r="4638" ht="15">
      <c r="D4638" s="216"/>
    </row>
    <row r="4639" ht="15">
      <c r="D4639" s="216"/>
    </row>
    <row r="4640" ht="15">
      <c r="D4640" s="216"/>
    </row>
    <row r="4641" ht="15">
      <c r="D4641" s="216"/>
    </row>
    <row r="4642" ht="15">
      <c r="D4642" s="216"/>
    </row>
    <row r="4643" ht="15">
      <c r="D4643" s="216"/>
    </row>
    <row r="4644" ht="15">
      <c r="D4644" s="216"/>
    </row>
    <row r="4645" ht="15">
      <c r="D4645" s="216"/>
    </row>
    <row r="4646" ht="15">
      <c r="D4646" s="216"/>
    </row>
    <row r="4647" ht="15">
      <c r="D4647" s="216"/>
    </row>
    <row r="4648" ht="15">
      <c r="D4648" s="216"/>
    </row>
    <row r="4649" ht="15">
      <c r="D4649" s="216"/>
    </row>
    <row r="4650" ht="15">
      <c r="D4650" s="216"/>
    </row>
    <row r="4651" ht="15">
      <c r="D4651" s="216"/>
    </row>
    <row r="4652" ht="15">
      <c r="D4652" s="216"/>
    </row>
    <row r="4653" ht="15">
      <c r="D4653" s="216"/>
    </row>
    <row r="4654" ht="15">
      <c r="D4654" s="216"/>
    </row>
    <row r="4655" ht="15">
      <c r="D4655" s="216"/>
    </row>
    <row r="4656" ht="15">
      <c r="D4656" s="216"/>
    </row>
    <row r="4657" ht="15">
      <c r="D4657" s="216"/>
    </row>
    <row r="4658" ht="15">
      <c r="D4658" s="216"/>
    </row>
    <row r="4659" ht="15">
      <c r="D4659" s="216"/>
    </row>
    <row r="4660" ht="15">
      <c r="D4660" s="216"/>
    </row>
    <row r="4661" ht="15">
      <c r="D4661" s="216"/>
    </row>
    <row r="4662" ht="15">
      <c r="D4662" s="216"/>
    </row>
    <row r="4663" ht="15">
      <c r="D4663" s="216"/>
    </row>
    <row r="4664" ht="15">
      <c r="D4664" s="216"/>
    </row>
    <row r="4665" ht="15">
      <c r="D4665" s="216"/>
    </row>
    <row r="4666" ht="15">
      <c r="D4666" s="216"/>
    </row>
    <row r="4667" ht="15">
      <c r="D4667" s="216"/>
    </row>
    <row r="4668" ht="15">
      <c r="D4668" s="216"/>
    </row>
    <row r="4669" ht="15">
      <c r="D4669" s="216"/>
    </row>
    <row r="4670" ht="15">
      <c r="D4670" s="216"/>
    </row>
    <row r="4671" ht="15">
      <c r="D4671" s="216"/>
    </row>
    <row r="4672" ht="15">
      <c r="D4672" s="216"/>
    </row>
    <row r="4673" ht="15">
      <c r="D4673" s="216"/>
    </row>
    <row r="4674" ht="15">
      <c r="D4674" s="216"/>
    </row>
    <row r="4675" ht="15">
      <c r="D4675" s="216"/>
    </row>
    <row r="4676" ht="15">
      <c r="D4676" s="216"/>
    </row>
    <row r="4677" ht="15">
      <c r="D4677" s="216"/>
    </row>
    <row r="4678" ht="15">
      <c r="D4678" s="216"/>
    </row>
    <row r="4679" ht="15">
      <c r="D4679" s="216"/>
    </row>
    <row r="4680" ht="15">
      <c r="D4680" s="216"/>
    </row>
    <row r="4681" ht="15">
      <c r="D4681" s="216"/>
    </row>
    <row r="4682" ht="15">
      <c r="D4682" s="216"/>
    </row>
    <row r="4683" ht="15">
      <c r="D4683" s="216"/>
    </row>
    <row r="4684" ht="15">
      <c r="D4684" s="216"/>
    </row>
    <row r="4685" ht="15">
      <c r="D4685" s="216"/>
    </row>
    <row r="4686" ht="15">
      <c r="D4686" s="216"/>
    </row>
    <row r="4687" ht="15">
      <c r="D4687" s="216"/>
    </row>
    <row r="4688" ht="15">
      <c r="D4688" s="216"/>
    </row>
    <row r="4689" ht="15">
      <c r="D4689" s="216"/>
    </row>
    <row r="4690" ht="15">
      <c r="D4690" s="216"/>
    </row>
    <row r="4691" ht="15">
      <c r="D4691" s="216"/>
    </row>
    <row r="4692" ht="15">
      <c r="D4692" s="216"/>
    </row>
    <row r="4693" ht="15">
      <c r="D4693" s="216"/>
    </row>
    <row r="4694" ht="15">
      <c r="D4694" s="216"/>
    </row>
    <row r="4695" ht="15">
      <c r="D4695" s="216"/>
    </row>
    <row r="4696" ht="15">
      <c r="D4696" s="216"/>
    </row>
    <row r="4697" ht="15">
      <c r="D4697" s="216"/>
    </row>
    <row r="4698" ht="15">
      <c r="D4698" s="216"/>
    </row>
    <row r="4699" ht="15">
      <c r="D4699" s="216"/>
    </row>
    <row r="4700" ht="15">
      <c r="D4700" s="216"/>
    </row>
    <row r="4701" ht="15">
      <c r="D4701" s="216"/>
    </row>
    <row r="4702" ht="15">
      <c r="D4702" s="216"/>
    </row>
    <row r="4703" ht="15">
      <c r="D4703" s="216"/>
    </row>
    <row r="4704" ht="15">
      <c r="D4704" s="216"/>
    </row>
    <row r="4705" ht="15">
      <c r="D4705" s="216"/>
    </row>
    <row r="4706" ht="15">
      <c r="D4706" s="216"/>
    </row>
    <row r="4707" ht="15">
      <c r="D4707" s="216"/>
    </row>
    <row r="4708" ht="15">
      <c r="D4708" s="216"/>
    </row>
    <row r="4709" ht="15">
      <c r="D4709" s="216"/>
    </row>
    <row r="4710" ht="15">
      <c r="D4710" s="216"/>
    </row>
    <row r="4711" ht="15">
      <c r="D4711" s="216"/>
    </row>
    <row r="4712" ht="15">
      <c r="D4712" s="216"/>
    </row>
    <row r="4713" ht="15">
      <c r="D4713" s="216"/>
    </row>
    <row r="4714" ht="15">
      <c r="D4714" s="216"/>
    </row>
    <row r="4715" ht="15">
      <c r="D4715" s="216"/>
    </row>
    <row r="4716" ht="15">
      <c r="D4716" s="216"/>
    </row>
    <row r="4717" ht="15">
      <c r="D4717" s="216"/>
    </row>
    <row r="4718" ht="15">
      <c r="D4718" s="216"/>
    </row>
    <row r="4719" ht="15">
      <c r="D4719" s="216"/>
    </row>
    <row r="4720" ht="15">
      <c r="D4720" s="216"/>
    </row>
    <row r="4721" ht="15">
      <c r="D4721" s="216"/>
    </row>
    <row r="4722" ht="15">
      <c r="D4722" s="216"/>
    </row>
    <row r="4723" ht="15">
      <c r="D4723" s="216"/>
    </row>
    <row r="4724" ht="15">
      <c r="D4724" s="216"/>
    </row>
    <row r="4725" ht="15">
      <c r="D4725" s="216"/>
    </row>
    <row r="4726" ht="15">
      <c r="D4726" s="216"/>
    </row>
    <row r="4727" ht="15">
      <c r="D4727" s="216"/>
    </row>
    <row r="4728" ht="15">
      <c r="D4728" s="216"/>
    </row>
    <row r="4729" ht="15">
      <c r="D4729" s="216"/>
    </row>
    <row r="4730" ht="15">
      <c r="D4730" s="216"/>
    </row>
    <row r="4731" ht="15">
      <c r="D4731" s="216"/>
    </row>
    <row r="4732" ht="15">
      <c r="D4732" s="216"/>
    </row>
    <row r="4733" ht="15">
      <c r="D4733" s="216"/>
    </row>
    <row r="4734" ht="15">
      <c r="D4734" s="216"/>
    </row>
    <row r="4735" ht="15">
      <c r="D4735" s="216"/>
    </row>
    <row r="4736" ht="15">
      <c r="D4736" s="216"/>
    </row>
    <row r="4737" ht="15">
      <c r="D4737" s="216"/>
    </row>
    <row r="4738" ht="15">
      <c r="D4738" s="216"/>
    </row>
    <row r="4739" ht="15">
      <c r="D4739" s="216"/>
    </row>
    <row r="4740" ht="15">
      <c r="D4740" s="216"/>
    </row>
    <row r="4741" ht="15">
      <c r="D4741" s="216"/>
    </row>
    <row r="4742" ht="15">
      <c r="D4742" s="216"/>
    </row>
    <row r="4743" ht="15">
      <c r="D4743" s="216"/>
    </row>
    <row r="4744" ht="15">
      <c r="D4744" s="216"/>
    </row>
    <row r="4745" ht="15">
      <c r="D4745" s="216"/>
    </row>
    <row r="4746" ht="15">
      <c r="D4746" s="216"/>
    </row>
    <row r="4747" ht="15">
      <c r="D4747" s="216"/>
    </row>
    <row r="4748" ht="15">
      <c r="D4748" s="216"/>
    </row>
    <row r="4749" ht="15">
      <c r="D4749" s="216"/>
    </row>
    <row r="4750" ht="15">
      <c r="D4750" s="216"/>
    </row>
    <row r="4751" ht="15">
      <c r="D4751" s="216"/>
    </row>
    <row r="4752" ht="15">
      <c r="D4752" s="216"/>
    </row>
    <row r="4753" ht="15">
      <c r="D4753" s="216"/>
    </row>
    <row r="4754" ht="15">
      <c r="D4754" s="216"/>
    </row>
    <row r="4755" ht="15">
      <c r="D4755" s="216"/>
    </row>
    <row r="4756" ht="15">
      <c r="D4756" s="216"/>
    </row>
    <row r="4757" ht="15">
      <c r="D4757" s="216"/>
    </row>
    <row r="4758" ht="15">
      <c r="D4758" s="216"/>
    </row>
    <row r="4759" ht="15">
      <c r="D4759" s="216"/>
    </row>
    <row r="4760" ht="15">
      <c r="D4760" s="216"/>
    </row>
    <row r="4761" ht="15">
      <c r="D4761" s="216"/>
    </row>
    <row r="4762" ht="15">
      <c r="D4762" s="216"/>
    </row>
    <row r="4763" ht="15">
      <c r="D4763" s="216"/>
    </row>
    <row r="4764" ht="15">
      <c r="D4764" s="216"/>
    </row>
    <row r="4765" ht="15">
      <c r="D4765" s="216"/>
    </row>
    <row r="4766" ht="15">
      <c r="D4766" s="216"/>
    </row>
    <row r="4767" ht="15">
      <c r="D4767" s="216"/>
    </row>
    <row r="4768" ht="15">
      <c r="D4768" s="216"/>
    </row>
    <row r="4769" ht="15">
      <c r="D4769" s="216"/>
    </row>
    <row r="4770" ht="15">
      <c r="D4770" s="216"/>
    </row>
    <row r="4771" ht="15">
      <c r="D4771" s="216"/>
    </row>
    <row r="4772" ht="15">
      <c r="D4772" s="216"/>
    </row>
    <row r="4773" ht="15">
      <c r="D4773" s="216"/>
    </row>
    <row r="4774" ht="15">
      <c r="D4774" s="216"/>
    </row>
    <row r="4775" ht="15">
      <c r="D4775" s="216"/>
    </row>
    <row r="4776" ht="15">
      <c r="D4776" s="216"/>
    </row>
    <row r="4777" ht="15">
      <c r="D4777" s="216"/>
    </row>
    <row r="4778" ht="15">
      <c r="D4778" s="216"/>
    </row>
    <row r="4779" ht="15">
      <c r="D4779" s="216"/>
    </row>
    <row r="4780" ht="15">
      <c r="D4780" s="216"/>
    </row>
    <row r="4781" ht="15">
      <c r="D4781" s="216"/>
    </row>
    <row r="4782" ht="15">
      <c r="D4782" s="216"/>
    </row>
    <row r="4783" ht="15">
      <c r="D4783" s="216"/>
    </row>
    <row r="4784" ht="15">
      <c r="D4784" s="216"/>
    </row>
    <row r="4785" ht="15">
      <c r="D4785" s="216"/>
    </row>
    <row r="4786" ht="15">
      <c r="D4786" s="216"/>
    </row>
    <row r="4787" ht="15">
      <c r="D4787" s="216"/>
    </row>
    <row r="4788" ht="15">
      <c r="D4788" s="216"/>
    </row>
    <row r="4789" ht="15">
      <c r="D4789" s="216"/>
    </row>
    <row r="4790" ht="15">
      <c r="D4790" s="216"/>
    </row>
    <row r="4791" ht="15">
      <c r="D4791" s="216"/>
    </row>
    <row r="4792" ht="15">
      <c r="D4792" s="216"/>
    </row>
    <row r="4793" ht="15">
      <c r="D4793" s="216"/>
    </row>
    <row r="4794" ht="15">
      <c r="D4794" s="216"/>
    </row>
    <row r="4795" ht="15">
      <c r="D4795" s="216"/>
    </row>
    <row r="4796" ht="15">
      <c r="D4796" s="216"/>
    </row>
    <row r="4797" ht="15">
      <c r="D4797" s="216"/>
    </row>
    <row r="4798" ht="15">
      <c r="D4798" s="216"/>
    </row>
    <row r="4799" ht="15">
      <c r="D4799" s="216"/>
    </row>
    <row r="4800" ht="15">
      <c r="D4800" s="216"/>
    </row>
    <row r="4801" ht="15">
      <c r="D4801" s="216"/>
    </row>
    <row r="4802" ht="15">
      <c r="D4802" s="216"/>
    </row>
    <row r="4803" ht="15">
      <c r="D4803" s="216"/>
    </row>
    <row r="4804" ht="15">
      <c r="D4804" s="216"/>
    </row>
    <row r="4805" ht="15">
      <c r="D4805" s="216"/>
    </row>
    <row r="4806" ht="15">
      <c r="D4806" s="216"/>
    </row>
    <row r="4807" ht="15">
      <c r="D4807" s="216"/>
    </row>
    <row r="4808" ht="15">
      <c r="D4808" s="216"/>
    </row>
    <row r="4809" ht="15">
      <c r="D4809" s="216"/>
    </row>
    <row r="4810" ht="15">
      <c r="D4810" s="216"/>
    </row>
    <row r="4811" ht="15">
      <c r="D4811" s="216"/>
    </row>
    <row r="4812" ht="15">
      <c r="D4812" s="216"/>
    </row>
    <row r="4813" ht="15">
      <c r="D4813" s="216"/>
    </row>
    <row r="4814" ht="15">
      <c r="D4814" s="216"/>
    </row>
    <row r="4815" ht="15">
      <c r="D4815" s="216"/>
    </row>
    <row r="4816" ht="15">
      <c r="D4816" s="216"/>
    </row>
    <row r="4817" ht="15">
      <c r="D4817" s="216"/>
    </row>
    <row r="4818" ht="15">
      <c r="D4818" s="216"/>
    </row>
    <row r="4819" ht="15">
      <c r="D4819" s="216"/>
    </row>
    <row r="4820" ht="15">
      <c r="D4820" s="216"/>
    </row>
    <row r="4821" ht="15">
      <c r="D4821" s="216"/>
    </row>
    <row r="4822" ht="15">
      <c r="D4822" s="216"/>
    </row>
    <row r="4823" ht="15">
      <c r="D4823" s="216"/>
    </row>
    <row r="4824" ht="15">
      <c r="D4824" s="216"/>
    </row>
    <row r="4825" ht="15">
      <c r="D4825" s="216"/>
    </row>
    <row r="4826" ht="15">
      <c r="D4826" s="216"/>
    </row>
    <row r="4827" ht="15">
      <c r="D4827" s="216"/>
    </row>
    <row r="4828" ht="15">
      <c r="D4828" s="216"/>
    </row>
    <row r="4829" ht="15">
      <c r="D4829" s="216"/>
    </row>
    <row r="4830" ht="15">
      <c r="D4830" s="216"/>
    </row>
    <row r="4831" ht="15">
      <c r="D4831" s="216"/>
    </row>
    <row r="4832" ht="15">
      <c r="D4832" s="216"/>
    </row>
    <row r="4833" ht="15">
      <c r="D4833" s="216"/>
    </row>
    <row r="4834" ht="15">
      <c r="D4834" s="216"/>
    </row>
    <row r="4835" ht="15">
      <c r="D4835" s="216"/>
    </row>
    <row r="4836" ht="15">
      <c r="D4836" s="216"/>
    </row>
    <row r="4837" ht="15">
      <c r="D4837" s="216"/>
    </row>
    <row r="4838" ht="15">
      <c r="D4838" s="216"/>
    </row>
    <row r="4839" ht="15">
      <c r="D4839" s="216"/>
    </row>
    <row r="4840" ht="15">
      <c r="D4840" s="216"/>
    </row>
    <row r="4841" ht="15">
      <c r="D4841" s="216"/>
    </row>
    <row r="4842" ht="15">
      <c r="D4842" s="216"/>
    </row>
    <row r="4843" ht="15">
      <c r="D4843" s="216"/>
    </row>
    <row r="4844" ht="15">
      <c r="D4844" s="216"/>
    </row>
    <row r="4845" ht="15">
      <c r="D4845" s="216"/>
    </row>
    <row r="4846" ht="15">
      <c r="D4846" s="216"/>
    </row>
    <row r="4847" ht="15">
      <c r="D4847" s="216"/>
    </row>
    <row r="4848" ht="15">
      <c r="D4848" s="216"/>
    </row>
    <row r="4849" ht="15">
      <c r="D4849" s="216"/>
    </row>
    <row r="4850" ht="15">
      <c r="D4850" s="216"/>
    </row>
    <row r="4851" ht="15">
      <c r="D4851" s="216"/>
    </row>
    <row r="4852" ht="15">
      <c r="D4852" s="216"/>
    </row>
    <row r="4853" ht="15">
      <c r="D4853" s="216"/>
    </row>
    <row r="4854" ht="15">
      <c r="D4854" s="216"/>
    </row>
    <row r="4855" ht="15">
      <c r="D4855" s="216"/>
    </row>
    <row r="4856" ht="15">
      <c r="D4856" s="216"/>
    </row>
    <row r="4857" ht="15">
      <c r="D4857" s="216"/>
    </row>
    <row r="4858" ht="15">
      <c r="D4858" s="216"/>
    </row>
    <row r="4859" ht="15">
      <c r="D4859" s="216"/>
    </row>
    <row r="4860" ht="15">
      <c r="D4860" s="216"/>
    </row>
    <row r="4861" ht="15">
      <c r="D4861" s="216"/>
    </row>
    <row r="4862" ht="15">
      <c r="D4862" s="216"/>
    </row>
    <row r="4863" ht="15">
      <c r="D4863" s="216"/>
    </row>
    <row r="4864" ht="15">
      <c r="D4864" s="216"/>
    </row>
    <row r="4865" ht="15">
      <c r="D4865" s="216"/>
    </row>
    <row r="4866" ht="15">
      <c r="D4866" s="216"/>
    </row>
    <row r="4867" ht="15">
      <c r="D4867" s="216"/>
    </row>
    <row r="4868" ht="15">
      <c r="D4868" s="216"/>
    </row>
    <row r="4869" ht="15">
      <c r="D4869" s="216"/>
    </row>
    <row r="4870" ht="15">
      <c r="D4870" s="216"/>
    </row>
    <row r="4871" ht="15">
      <c r="D4871" s="216"/>
    </row>
    <row r="4872" ht="15">
      <c r="D4872" s="216"/>
    </row>
    <row r="4873" ht="15">
      <c r="D4873" s="216"/>
    </row>
    <row r="4874" ht="15">
      <c r="D4874" s="216"/>
    </row>
    <row r="4875" ht="15">
      <c r="D4875" s="216"/>
    </row>
    <row r="4876" ht="15">
      <c r="D4876" s="216"/>
    </row>
    <row r="4877" ht="15">
      <c r="D4877" s="216"/>
    </row>
    <row r="4878" ht="15">
      <c r="D4878" s="216"/>
    </row>
    <row r="4879" ht="15">
      <c r="D4879" s="216"/>
    </row>
    <row r="4880" ht="15">
      <c r="D4880" s="216"/>
    </row>
    <row r="4881" ht="15">
      <c r="D4881" s="216"/>
    </row>
    <row r="4882" ht="15">
      <c r="D4882" s="216"/>
    </row>
    <row r="4883" ht="15">
      <c r="D4883" s="216"/>
    </row>
    <row r="4884" ht="15">
      <c r="D4884" s="216"/>
    </row>
    <row r="4885" ht="15">
      <c r="D4885" s="216"/>
    </row>
    <row r="4886" ht="15">
      <c r="D4886" s="216"/>
    </row>
    <row r="4887" ht="15">
      <c r="D4887" s="216"/>
    </row>
    <row r="4888" ht="15">
      <c r="D4888" s="216"/>
    </row>
    <row r="4889" ht="15">
      <c r="D4889" s="216"/>
    </row>
    <row r="4890" ht="15">
      <c r="D4890" s="216"/>
    </row>
    <row r="4891" ht="15">
      <c r="D4891" s="216"/>
    </row>
    <row r="4892" ht="15">
      <c r="D4892" s="216"/>
    </row>
    <row r="4893" ht="15">
      <c r="D4893" s="216"/>
    </row>
    <row r="4894" ht="15">
      <c r="D4894" s="216"/>
    </row>
    <row r="4895" ht="15">
      <c r="D4895" s="216"/>
    </row>
    <row r="4896" ht="15">
      <c r="D4896" s="216"/>
    </row>
    <row r="4897" ht="15">
      <c r="D4897" s="216"/>
    </row>
    <row r="4898" ht="15">
      <c r="D4898" s="216"/>
    </row>
    <row r="4899" ht="15">
      <c r="D4899" s="216"/>
    </row>
    <row r="4900" ht="15">
      <c r="D4900" s="216"/>
    </row>
    <row r="4901" ht="15">
      <c r="D4901" s="216"/>
    </row>
    <row r="4902" ht="15">
      <c r="D4902" s="216"/>
    </row>
    <row r="4903" ht="15">
      <c r="D4903" s="216"/>
    </row>
    <row r="4904" ht="15">
      <c r="D4904" s="216"/>
    </row>
    <row r="4905" ht="15">
      <c r="D4905" s="216"/>
    </row>
    <row r="4906" ht="15">
      <c r="D4906" s="216"/>
    </row>
    <row r="4907" ht="15">
      <c r="D4907" s="216"/>
    </row>
    <row r="4908" ht="15">
      <c r="D4908" s="216"/>
    </row>
    <row r="4909" ht="15">
      <c r="D4909" s="216"/>
    </row>
    <row r="4910" ht="15">
      <c r="D4910" s="216"/>
    </row>
    <row r="4911" ht="15">
      <c r="D4911" s="216"/>
    </row>
    <row r="4912" ht="15">
      <c r="D4912" s="216"/>
    </row>
    <row r="4913" ht="15">
      <c r="D4913" s="216"/>
    </row>
    <row r="4914" ht="15">
      <c r="D4914" s="216"/>
    </row>
    <row r="4915" ht="15">
      <c r="D4915" s="216"/>
    </row>
    <row r="4916" ht="15">
      <c r="D4916" s="216"/>
    </row>
    <row r="4917" ht="15">
      <c r="D4917" s="216"/>
    </row>
    <row r="4918" ht="15">
      <c r="D4918" s="216"/>
    </row>
    <row r="4919" ht="15">
      <c r="D4919" s="216"/>
    </row>
    <row r="4920" ht="15">
      <c r="D4920" s="216"/>
    </row>
    <row r="4921" ht="15">
      <c r="D4921" s="216"/>
    </row>
    <row r="4922" ht="15">
      <c r="D4922" s="216"/>
    </row>
    <row r="4923" ht="15">
      <c r="D4923" s="216"/>
    </row>
    <row r="4924" ht="15">
      <c r="D4924" s="216"/>
    </row>
    <row r="4925" ht="15">
      <c r="D4925" s="216"/>
    </row>
    <row r="4926" ht="15">
      <c r="D4926" s="216"/>
    </row>
    <row r="4927" ht="15">
      <c r="D4927" s="216"/>
    </row>
    <row r="4928" ht="15">
      <c r="D4928" s="216"/>
    </row>
    <row r="4929" ht="15">
      <c r="D4929" s="216"/>
    </row>
    <row r="4930" ht="15">
      <c r="D4930" s="216"/>
    </row>
    <row r="4931" ht="15">
      <c r="D4931" s="216"/>
    </row>
    <row r="4932" ht="15">
      <c r="D4932" s="216"/>
    </row>
    <row r="4933" ht="15">
      <c r="D4933" s="216"/>
    </row>
    <row r="4934" ht="15">
      <c r="D4934" s="216"/>
    </row>
    <row r="4935" ht="15">
      <c r="D4935" s="216"/>
    </row>
    <row r="4936" ht="15">
      <c r="D4936" s="216"/>
    </row>
    <row r="4937" ht="15">
      <c r="D4937" s="216"/>
    </row>
    <row r="4938" ht="15">
      <c r="D4938" s="216"/>
    </row>
    <row r="4939" ht="15">
      <c r="D4939" s="216"/>
    </row>
    <row r="4940" ht="15">
      <c r="D4940" s="216"/>
    </row>
    <row r="4941" ht="15">
      <c r="D4941" s="216"/>
    </row>
    <row r="4942" ht="15">
      <c r="D4942" s="216"/>
    </row>
    <row r="4943" ht="15">
      <c r="D4943" s="216"/>
    </row>
    <row r="4944" ht="15">
      <c r="D4944" s="216"/>
    </row>
    <row r="4945" ht="15">
      <c r="D4945" s="216"/>
    </row>
    <row r="4946" ht="15">
      <c r="D4946" s="216"/>
    </row>
    <row r="4947" ht="15">
      <c r="D4947" s="216"/>
    </row>
    <row r="4948" ht="15">
      <c r="D4948" s="216"/>
    </row>
    <row r="4949" ht="15">
      <c r="D4949" s="216"/>
    </row>
    <row r="4950" ht="15">
      <c r="D4950" s="216"/>
    </row>
    <row r="4951" ht="15">
      <c r="D4951" s="216"/>
    </row>
    <row r="4952" ht="15">
      <c r="D4952" s="216"/>
    </row>
    <row r="4953" ht="15">
      <c r="D4953" s="216"/>
    </row>
    <row r="4954" ht="15">
      <c r="D4954" s="216"/>
    </row>
    <row r="4955" ht="15">
      <c r="D4955" s="216"/>
    </row>
    <row r="4956" ht="15">
      <c r="D4956" s="216"/>
    </row>
    <row r="4957" ht="15">
      <c r="D4957" s="216"/>
    </row>
    <row r="4958" ht="15">
      <c r="D4958" s="216"/>
    </row>
    <row r="4959" ht="15">
      <c r="D4959" s="216"/>
    </row>
    <row r="4960" ht="15">
      <c r="D4960" s="216"/>
    </row>
    <row r="4961" ht="15">
      <c r="D4961" s="216"/>
    </row>
    <row r="4962" ht="15">
      <c r="D4962" s="216"/>
    </row>
    <row r="4963" ht="15">
      <c r="D4963" s="216"/>
    </row>
    <row r="4964" ht="15">
      <c r="D4964" s="216"/>
    </row>
    <row r="4965" ht="15">
      <c r="D4965" s="216"/>
    </row>
    <row r="4966" ht="15">
      <c r="D4966" s="216"/>
    </row>
    <row r="4967" ht="15">
      <c r="D4967" s="216"/>
    </row>
    <row r="4968" ht="15">
      <c r="D4968" s="216"/>
    </row>
    <row r="4969" ht="15">
      <c r="D4969" s="216"/>
    </row>
    <row r="4970" ht="15">
      <c r="D4970" s="216"/>
    </row>
    <row r="4971" ht="15">
      <c r="D4971" s="216"/>
    </row>
    <row r="4972" ht="15">
      <c r="D4972" s="216"/>
    </row>
    <row r="4973" ht="15">
      <c r="D4973" s="216"/>
    </row>
    <row r="4974" ht="15">
      <c r="D4974" s="216"/>
    </row>
    <row r="4975" ht="15">
      <c r="D4975" s="216"/>
    </row>
    <row r="4976" ht="15">
      <c r="D4976" s="216"/>
    </row>
    <row r="4977" ht="15">
      <c r="D4977" s="216"/>
    </row>
    <row r="4978" ht="15">
      <c r="D4978" s="216"/>
    </row>
    <row r="4979" ht="15">
      <c r="D4979" s="216"/>
    </row>
    <row r="4980" ht="15">
      <c r="D4980" s="216"/>
    </row>
    <row r="4981" ht="15">
      <c r="D4981" s="216"/>
    </row>
    <row r="4982" ht="15">
      <c r="D4982" s="216"/>
    </row>
    <row r="4983" ht="15">
      <c r="D4983" s="216"/>
    </row>
    <row r="4984" ht="15">
      <c r="D4984" s="216"/>
    </row>
    <row r="4985" ht="15">
      <c r="D4985" s="216"/>
    </row>
    <row r="4986" ht="15">
      <c r="D4986" s="216"/>
    </row>
    <row r="4987" ht="15">
      <c r="D4987" s="216"/>
    </row>
    <row r="4988" ht="15">
      <c r="D4988" s="216"/>
    </row>
    <row r="4989" ht="15">
      <c r="D4989" s="216"/>
    </row>
    <row r="4990" ht="15">
      <c r="D4990" s="216"/>
    </row>
    <row r="4991" ht="15">
      <c r="D4991" s="216"/>
    </row>
    <row r="4992" ht="15">
      <c r="D4992" s="216"/>
    </row>
    <row r="4993" ht="15">
      <c r="D4993" s="216"/>
    </row>
    <row r="4994" ht="15">
      <c r="D4994" s="216"/>
    </row>
    <row r="4995" ht="15">
      <c r="D4995" s="216"/>
    </row>
    <row r="4996" ht="15">
      <c r="D4996" s="216"/>
    </row>
    <row r="4997" ht="15">
      <c r="D4997" s="216"/>
    </row>
    <row r="4998" ht="15">
      <c r="D4998" s="216"/>
    </row>
    <row r="4999" ht="15">
      <c r="D4999" s="216"/>
    </row>
    <row r="5000" ht="15">
      <c r="D5000" s="216"/>
    </row>
  </sheetData>
  <sheetProtection algorithmName="SHA-512" hashValue="YaZa5E3YXnAxZevunUBVl1vpvakqQdZWPHF/yh1ydBT2ATtzrgJS/btoE0OsmCO/jluQDfJ1kyuoqqAXyn3HKw==" saltValue="nipTkikwhpJafFVpyY0lCw==" spinCount="100000" sheet="1" formatRows="0"/>
  <mergeCells count="34">
    <mergeCell ref="C38:G38"/>
    <mergeCell ref="A1:G1"/>
    <mergeCell ref="C10:G10"/>
    <mergeCell ref="C14:G14"/>
    <mergeCell ref="C19:G19"/>
    <mergeCell ref="C22:G22"/>
    <mergeCell ref="C26:G26"/>
    <mergeCell ref="C30:G30"/>
    <mergeCell ref="C33:G33"/>
    <mergeCell ref="C2:S2"/>
    <mergeCell ref="C3:S3"/>
    <mergeCell ref="C4:S4"/>
    <mergeCell ref="C84:G84"/>
    <mergeCell ref="C42:G42"/>
    <mergeCell ref="C46:G46"/>
    <mergeCell ref="C50:G50"/>
    <mergeCell ref="C53:G53"/>
    <mergeCell ref="C57:G57"/>
    <mergeCell ref="C61:G61"/>
    <mergeCell ref="C64:G64"/>
    <mergeCell ref="C69:G69"/>
    <mergeCell ref="C73:G73"/>
    <mergeCell ref="C77:G77"/>
    <mergeCell ref="C81:G81"/>
    <mergeCell ref="C121:G121"/>
    <mergeCell ref="C133:G133"/>
    <mergeCell ref="C136:G136"/>
    <mergeCell ref="C146:G146"/>
    <mergeCell ref="C88:G88"/>
    <mergeCell ref="C92:G92"/>
    <mergeCell ref="C95:G95"/>
    <mergeCell ref="C100:G100"/>
    <mergeCell ref="C104:G104"/>
    <mergeCell ref="C117:G117"/>
  </mergeCells>
  <printOptions/>
  <pageMargins left="0.1968503937007874" right="0.1968503937007874" top="0.5905511811023622" bottom="0.3937007874015748" header="0" footer="0.1968503937007874"/>
  <pageSetup horizontalDpi="600" verticalDpi="600" orientation="landscape" paperSize="9" r:id="rId3"/>
  <headerFooter>
    <oddFooter>&amp;LZpracováno programem BUILDpower S,  © RTS, a.s.&amp;RStránka &amp;P z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3F866-6839-4894-89DC-E69785C572E5}">
  <dimension ref="A1:BL223"/>
  <sheetViews>
    <sheetView view="pageBreakPreview" zoomScale="115" zoomScaleSheetLayoutView="115" workbookViewId="0" topLeftCell="A1">
      <selection activeCell="C18" sqref="C18:D18"/>
    </sheetView>
  </sheetViews>
  <sheetFormatPr defaultColWidth="11.57421875" defaultRowHeight="15"/>
  <cols>
    <col min="1" max="1" width="3.7109375" style="1" customWidth="1"/>
    <col min="2" max="2" width="14.28125" style="1" customWidth="1"/>
    <col min="3" max="3" width="18.00390625" style="1" customWidth="1"/>
    <col min="4" max="4" width="43.0039062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18.00390625" style="1" customWidth="1"/>
    <col min="260" max="260" width="43.0039062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18.00390625" style="1" customWidth="1"/>
    <col min="516" max="516" width="43.0039062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18.00390625" style="1" customWidth="1"/>
    <col min="772" max="772" width="43.0039062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18.00390625" style="1" customWidth="1"/>
    <col min="1028" max="1028" width="43.0039062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18.00390625" style="1" customWidth="1"/>
    <col min="1284" max="1284" width="43.0039062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18.00390625" style="1" customWidth="1"/>
    <col min="1540" max="1540" width="43.0039062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18.00390625" style="1" customWidth="1"/>
    <col min="1796" max="1796" width="43.0039062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18.00390625" style="1" customWidth="1"/>
    <col min="2052" max="2052" width="43.0039062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18.00390625" style="1" customWidth="1"/>
    <col min="2308" max="2308" width="43.0039062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18.00390625" style="1" customWidth="1"/>
    <col min="2564" max="2564" width="43.0039062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18.00390625" style="1" customWidth="1"/>
    <col min="2820" max="2820" width="43.0039062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18.00390625" style="1" customWidth="1"/>
    <col min="3076" max="3076" width="43.0039062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18.00390625" style="1" customWidth="1"/>
    <col min="3332" max="3332" width="43.0039062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18.00390625" style="1" customWidth="1"/>
    <col min="3588" max="3588" width="43.0039062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18.00390625" style="1" customWidth="1"/>
    <col min="3844" max="3844" width="43.0039062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18.00390625" style="1" customWidth="1"/>
    <col min="4100" max="4100" width="43.0039062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18.00390625" style="1" customWidth="1"/>
    <col min="4356" max="4356" width="43.0039062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18.00390625" style="1" customWidth="1"/>
    <col min="4612" max="4612" width="43.0039062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18.00390625" style="1" customWidth="1"/>
    <col min="4868" max="4868" width="43.0039062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18.00390625" style="1" customWidth="1"/>
    <col min="5124" max="5124" width="43.0039062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18.00390625" style="1" customWidth="1"/>
    <col min="5380" max="5380" width="43.0039062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18.00390625" style="1" customWidth="1"/>
    <col min="5636" max="5636" width="43.0039062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18.00390625" style="1" customWidth="1"/>
    <col min="5892" max="5892" width="43.0039062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18.00390625" style="1" customWidth="1"/>
    <col min="6148" max="6148" width="43.0039062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18.00390625" style="1" customWidth="1"/>
    <col min="6404" max="6404" width="43.0039062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18.00390625" style="1" customWidth="1"/>
    <col min="6660" max="6660" width="43.0039062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18.00390625" style="1" customWidth="1"/>
    <col min="6916" max="6916" width="43.0039062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18.00390625" style="1" customWidth="1"/>
    <col min="7172" max="7172" width="43.0039062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18.00390625" style="1" customWidth="1"/>
    <col min="7428" max="7428" width="43.0039062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18.00390625" style="1" customWidth="1"/>
    <col min="7684" max="7684" width="43.0039062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18.00390625" style="1" customWidth="1"/>
    <col min="7940" max="7940" width="43.0039062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18.00390625" style="1" customWidth="1"/>
    <col min="8196" max="8196" width="43.0039062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18.00390625" style="1" customWidth="1"/>
    <col min="8452" max="8452" width="43.0039062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18.00390625" style="1" customWidth="1"/>
    <col min="8708" max="8708" width="43.0039062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18.00390625" style="1" customWidth="1"/>
    <col min="8964" max="8964" width="43.0039062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18.00390625" style="1" customWidth="1"/>
    <col min="9220" max="9220" width="43.0039062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18.00390625" style="1" customWidth="1"/>
    <col min="9476" max="9476" width="43.0039062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18.00390625" style="1" customWidth="1"/>
    <col min="9732" max="9732" width="43.0039062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18.00390625" style="1" customWidth="1"/>
    <col min="9988" max="9988" width="43.0039062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18.00390625" style="1" customWidth="1"/>
    <col min="10244" max="10244" width="43.0039062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18.00390625" style="1" customWidth="1"/>
    <col min="10500" max="10500" width="43.0039062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18.00390625" style="1" customWidth="1"/>
    <col min="10756" max="10756" width="43.0039062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18.00390625" style="1" customWidth="1"/>
    <col min="11012" max="11012" width="43.0039062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18.00390625" style="1" customWidth="1"/>
    <col min="11268" max="11268" width="43.0039062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18.00390625" style="1" customWidth="1"/>
    <col min="11524" max="11524" width="43.0039062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18.00390625" style="1" customWidth="1"/>
    <col min="11780" max="11780" width="43.0039062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18.00390625" style="1" customWidth="1"/>
    <col min="12036" max="12036" width="43.0039062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18.00390625" style="1" customWidth="1"/>
    <col min="12292" max="12292" width="43.0039062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18.00390625" style="1" customWidth="1"/>
    <col min="12548" max="12548" width="43.0039062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18.00390625" style="1" customWidth="1"/>
    <col min="12804" max="12804" width="43.0039062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18.00390625" style="1" customWidth="1"/>
    <col min="13060" max="13060" width="43.0039062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18.00390625" style="1" customWidth="1"/>
    <col min="13316" max="13316" width="43.0039062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18.00390625" style="1" customWidth="1"/>
    <col min="13572" max="13572" width="43.0039062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18.00390625" style="1" customWidth="1"/>
    <col min="13828" max="13828" width="43.0039062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18.00390625" style="1" customWidth="1"/>
    <col min="14084" max="14084" width="43.0039062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18.00390625" style="1" customWidth="1"/>
    <col min="14340" max="14340" width="43.0039062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18.00390625" style="1" customWidth="1"/>
    <col min="14596" max="14596" width="43.0039062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18.00390625" style="1" customWidth="1"/>
    <col min="14852" max="14852" width="43.0039062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18.00390625" style="1" customWidth="1"/>
    <col min="15108" max="15108" width="43.0039062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18.00390625" style="1" customWidth="1"/>
    <col min="15364" max="15364" width="43.0039062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18.00390625" style="1" customWidth="1"/>
    <col min="15620" max="15620" width="43.0039062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18.00390625" style="1" customWidth="1"/>
    <col min="15876" max="15876" width="43.0039062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18.00390625" style="1" customWidth="1"/>
    <col min="16132" max="16132" width="43.0039062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2</v>
      </c>
      <c r="D2" s="610"/>
      <c r="E2" s="612" t="s">
        <v>3</v>
      </c>
      <c r="F2" s="606"/>
      <c r="G2" s="612" t="s">
        <v>4</v>
      </c>
      <c r="H2" s="613" t="s">
        <v>5</v>
      </c>
      <c r="I2" s="613" t="s">
        <v>6</v>
      </c>
      <c r="J2" s="606"/>
      <c r="K2" s="606"/>
      <c r="L2" s="606"/>
      <c r="M2" s="614"/>
      <c r="N2" s="2"/>
    </row>
    <row r="3" spans="1:14" ht="15">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49</v>
      </c>
      <c r="C12" s="629" t="s">
        <v>50</v>
      </c>
      <c r="D12" s="630"/>
      <c r="E12" s="37" t="s">
        <v>4</v>
      </c>
      <c r="F12" s="37" t="s">
        <v>4</v>
      </c>
      <c r="G12" s="37" t="s">
        <v>4</v>
      </c>
      <c r="H12" s="38">
        <f>SUM(H13:H20)</f>
        <v>0</v>
      </c>
      <c r="I12" s="38">
        <f>SUM(I13:I20)</f>
        <v>0</v>
      </c>
      <c r="J12" s="38">
        <f>SUM(J13:J20)</f>
        <v>0</v>
      </c>
      <c r="K12" s="39"/>
      <c r="L12" s="38">
        <f>SUM(L13:L20)</f>
        <v>208.66500000000002</v>
      </c>
      <c r="M12" s="40"/>
      <c r="N12" s="2"/>
      <c r="AI12" s="10"/>
      <c r="AS12" s="19">
        <f>SUM(AJ13:AJ20)</f>
        <v>0</v>
      </c>
      <c r="AT12" s="19">
        <f>SUM(AK13:AK20)</f>
        <v>0</v>
      </c>
      <c r="AU12" s="19">
        <f>SUM(AL13:AL20)</f>
        <v>0</v>
      </c>
    </row>
    <row r="13" spans="1:64" ht="15">
      <c r="A13" s="20" t="s">
        <v>51</v>
      </c>
      <c r="B13" s="3" t="s">
        <v>52</v>
      </c>
      <c r="C13" s="618" t="s">
        <v>53</v>
      </c>
      <c r="D13" s="608"/>
      <c r="E13" s="3" t="s">
        <v>54</v>
      </c>
      <c r="F13" s="21">
        <v>298</v>
      </c>
      <c r="G13" s="537"/>
      <c r="H13" s="21">
        <f>F13*AO13</f>
        <v>0</v>
      </c>
      <c r="I13" s="21">
        <f>F13*AP13</f>
        <v>0</v>
      </c>
      <c r="J13" s="21">
        <f>F13*G13</f>
        <v>0</v>
      </c>
      <c r="K13" s="21">
        <v>0.66</v>
      </c>
      <c r="L13" s="21">
        <f>F13*K13</f>
        <v>196.68</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56</v>
      </c>
      <c r="AZ13" s="23" t="s">
        <v>57</v>
      </c>
      <c r="BA13" s="10" t="s">
        <v>58</v>
      </c>
      <c r="BC13" s="21">
        <f>AW13+AX13</f>
        <v>0</v>
      </c>
      <c r="BD13" s="21">
        <f>G13/(100-BE13)*100</f>
        <v>0</v>
      </c>
      <c r="BE13" s="21">
        <v>0</v>
      </c>
      <c r="BF13" s="21">
        <f>L13</f>
        <v>196.68</v>
      </c>
      <c r="BH13" s="21">
        <f>F13*AO13</f>
        <v>0</v>
      </c>
      <c r="BI13" s="21">
        <f>F13*AP13</f>
        <v>0</v>
      </c>
      <c r="BJ13" s="21">
        <f>F13*G13</f>
        <v>0</v>
      </c>
      <c r="BK13" s="21" t="s">
        <v>59</v>
      </c>
      <c r="BL13" s="21">
        <v>11</v>
      </c>
    </row>
    <row r="14" spans="1:14" ht="15">
      <c r="A14" s="2"/>
      <c r="C14" s="24" t="s">
        <v>60</v>
      </c>
      <c r="D14" s="24"/>
      <c r="F14" s="25">
        <v>298</v>
      </c>
      <c r="M14" s="26"/>
      <c r="N14" s="2"/>
    </row>
    <row r="15" spans="1:14" ht="25.65" customHeight="1">
      <c r="A15" s="2"/>
      <c r="B15" s="27" t="s">
        <v>61</v>
      </c>
      <c r="C15" s="634" t="s">
        <v>62</v>
      </c>
      <c r="D15" s="635"/>
      <c r="E15" s="635"/>
      <c r="F15" s="635"/>
      <c r="G15" s="635"/>
      <c r="H15" s="635"/>
      <c r="I15" s="635"/>
      <c r="J15" s="635"/>
      <c r="K15" s="635"/>
      <c r="L15" s="635"/>
      <c r="M15" s="636"/>
      <c r="N15" s="2"/>
    </row>
    <row r="16" spans="1:64" ht="15">
      <c r="A16" s="20" t="s">
        <v>63</v>
      </c>
      <c r="B16" s="3" t="s">
        <v>64</v>
      </c>
      <c r="C16" s="618" t="s">
        <v>65</v>
      </c>
      <c r="D16" s="608"/>
      <c r="E16" s="3" t="s">
        <v>54</v>
      </c>
      <c r="F16" s="21">
        <v>15</v>
      </c>
      <c r="G16" s="537"/>
      <c r="H16" s="21">
        <f>F16*AO16</f>
        <v>0</v>
      </c>
      <c r="I16" s="21">
        <f>F16*AP16</f>
        <v>0</v>
      </c>
      <c r="J16" s="21">
        <f>F16*G16</f>
        <v>0</v>
      </c>
      <c r="K16" s="21">
        <v>0.22</v>
      </c>
      <c r="L16" s="21">
        <f>F16*K16</f>
        <v>3.3</v>
      </c>
      <c r="M16" s="22" t="s">
        <v>55</v>
      </c>
      <c r="N16" s="2"/>
      <c r="Z16" s="21">
        <f>IF(AQ16="5",BJ16,0)</f>
        <v>0</v>
      </c>
      <c r="AB16" s="21">
        <f>IF(AQ16="1",BH16,0)</f>
        <v>0</v>
      </c>
      <c r="AC16" s="21">
        <f>IF(AQ16="1",BI16,0)</f>
        <v>0</v>
      </c>
      <c r="AD16" s="21">
        <f>IF(AQ16="7",BH16,0)</f>
        <v>0</v>
      </c>
      <c r="AE16" s="21">
        <f>IF(AQ16="7",BI16,0)</f>
        <v>0</v>
      </c>
      <c r="AF16" s="21">
        <f>IF(AQ16="2",BH16,0)</f>
        <v>0</v>
      </c>
      <c r="AG16" s="21">
        <f>IF(AQ16="2",BI16,0)</f>
        <v>0</v>
      </c>
      <c r="AH16" s="21">
        <f>IF(AQ16="0",BJ16,0)</f>
        <v>0</v>
      </c>
      <c r="AI16" s="10"/>
      <c r="AJ16" s="21">
        <f>IF(AN16=0,J16,0)</f>
        <v>0</v>
      </c>
      <c r="AK16" s="21">
        <f>IF(AN16=15,J16,0)</f>
        <v>0</v>
      </c>
      <c r="AL16" s="21">
        <f>IF(AN16=21,J16,0)</f>
        <v>0</v>
      </c>
      <c r="AN16" s="21">
        <v>21</v>
      </c>
      <c r="AO16" s="21">
        <f>G16*0</f>
        <v>0</v>
      </c>
      <c r="AP16" s="21">
        <f>G16*(1-0)</f>
        <v>0</v>
      </c>
      <c r="AQ16" s="23" t="s">
        <v>51</v>
      </c>
      <c r="AV16" s="21">
        <f>AW16+AX16</f>
        <v>0</v>
      </c>
      <c r="AW16" s="21">
        <f>F16*AO16</f>
        <v>0</v>
      </c>
      <c r="AX16" s="21">
        <f>F16*AP16</f>
        <v>0</v>
      </c>
      <c r="AY16" s="23" t="s">
        <v>56</v>
      </c>
      <c r="AZ16" s="23" t="s">
        <v>57</v>
      </c>
      <c r="BA16" s="10" t="s">
        <v>58</v>
      </c>
      <c r="BC16" s="21">
        <f>AW16+AX16</f>
        <v>0</v>
      </c>
      <c r="BD16" s="21">
        <f>G16/(100-BE16)*100</f>
        <v>0</v>
      </c>
      <c r="BE16" s="21">
        <v>0</v>
      </c>
      <c r="BF16" s="21">
        <f>L16</f>
        <v>3.3</v>
      </c>
      <c r="BH16" s="21">
        <f>F16*AO16</f>
        <v>0</v>
      </c>
      <c r="BI16" s="21">
        <f>F16*AP16</f>
        <v>0</v>
      </c>
      <c r="BJ16" s="21">
        <f>F16*G16</f>
        <v>0</v>
      </c>
      <c r="BK16" s="21" t="s">
        <v>59</v>
      </c>
      <c r="BL16" s="21">
        <v>11</v>
      </c>
    </row>
    <row r="17" spans="1:14" ht="15">
      <c r="A17" s="2"/>
      <c r="C17" s="24" t="s">
        <v>66</v>
      </c>
      <c r="D17" s="24"/>
      <c r="F17" s="25">
        <v>15</v>
      </c>
      <c r="M17" s="26"/>
      <c r="N17" s="2"/>
    </row>
    <row r="18" spans="1:64" ht="15">
      <c r="A18" s="20" t="s">
        <v>67</v>
      </c>
      <c r="B18" s="3" t="s">
        <v>68</v>
      </c>
      <c r="C18" s="618" t="s">
        <v>69</v>
      </c>
      <c r="D18" s="608"/>
      <c r="E18" s="3" t="s">
        <v>54</v>
      </c>
      <c r="F18" s="21">
        <v>23</v>
      </c>
      <c r="G18" s="537"/>
      <c r="H18" s="21">
        <f>F18*AO18</f>
        <v>0</v>
      </c>
      <c r="I18" s="21">
        <f>F18*AP18</f>
        <v>0</v>
      </c>
      <c r="J18" s="21">
        <f>F18*G18</f>
        <v>0</v>
      </c>
      <c r="K18" s="21">
        <v>0.225</v>
      </c>
      <c r="L18" s="21">
        <f>F18*K18</f>
        <v>5.175</v>
      </c>
      <c r="M18" s="22" t="s">
        <v>55</v>
      </c>
      <c r="N18" s="2"/>
      <c r="Z18" s="21">
        <f>IF(AQ18="5",BJ18,0)</f>
        <v>0</v>
      </c>
      <c r="AB18" s="21">
        <f>IF(AQ18="1",BH18,0)</f>
        <v>0</v>
      </c>
      <c r="AC18" s="21">
        <f>IF(AQ18="1",BI18,0)</f>
        <v>0</v>
      </c>
      <c r="AD18" s="21">
        <f>IF(AQ18="7",BH18,0)</f>
        <v>0</v>
      </c>
      <c r="AE18" s="21">
        <f>IF(AQ18="7",BI18,0)</f>
        <v>0</v>
      </c>
      <c r="AF18" s="21">
        <f>IF(AQ18="2",BH18,0)</f>
        <v>0</v>
      </c>
      <c r="AG18" s="21">
        <f>IF(AQ18="2",BI18,0)</f>
        <v>0</v>
      </c>
      <c r="AH18" s="21">
        <f>IF(AQ18="0",BJ18,0)</f>
        <v>0</v>
      </c>
      <c r="AI18" s="10"/>
      <c r="AJ18" s="21">
        <f>IF(AN18=0,J18,0)</f>
        <v>0</v>
      </c>
      <c r="AK18" s="21">
        <f>IF(AN18=15,J18,0)</f>
        <v>0</v>
      </c>
      <c r="AL18" s="21">
        <f>IF(AN18=21,J18,0)</f>
        <v>0</v>
      </c>
      <c r="AN18" s="21">
        <v>21</v>
      </c>
      <c r="AO18" s="21">
        <f>G18*0</f>
        <v>0</v>
      </c>
      <c r="AP18" s="21">
        <f>G18*(1-0)</f>
        <v>0</v>
      </c>
      <c r="AQ18" s="23" t="s">
        <v>51</v>
      </c>
      <c r="AV18" s="21">
        <f>AW18+AX18</f>
        <v>0</v>
      </c>
      <c r="AW18" s="21">
        <f>F18*AO18</f>
        <v>0</v>
      </c>
      <c r="AX18" s="21">
        <f>F18*AP18</f>
        <v>0</v>
      </c>
      <c r="AY18" s="23" t="s">
        <v>56</v>
      </c>
      <c r="AZ18" s="23" t="s">
        <v>57</v>
      </c>
      <c r="BA18" s="10" t="s">
        <v>58</v>
      </c>
      <c r="BC18" s="21">
        <f>AW18+AX18</f>
        <v>0</v>
      </c>
      <c r="BD18" s="21">
        <f>G18/(100-BE18)*100</f>
        <v>0</v>
      </c>
      <c r="BE18" s="21">
        <v>0</v>
      </c>
      <c r="BF18" s="21">
        <f>L18</f>
        <v>5.175</v>
      </c>
      <c r="BH18" s="21">
        <f>F18*AO18</f>
        <v>0</v>
      </c>
      <c r="BI18" s="21">
        <f>F18*AP18</f>
        <v>0</v>
      </c>
      <c r="BJ18" s="21">
        <f>F18*G18</f>
        <v>0</v>
      </c>
      <c r="BK18" s="21" t="s">
        <v>59</v>
      </c>
      <c r="BL18" s="21">
        <v>11</v>
      </c>
    </row>
    <row r="19" spans="1:14" ht="15">
      <c r="A19" s="2"/>
      <c r="C19" s="24" t="s">
        <v>70</v>
      </c>
      <c r="D19" s="24"/>
      <c r="F19" s="25">
        <v>23</v>
      </c>
      <c r="M19" s="26"/>
      <c r="N19" s="2"/>
    </row>
    <row r="20" spans="1:64" ht="15">
      <c r="A20" s="20" t="s">
        <v>71</v>
      </c>
      <c r="B20" s="3" t="s">
        <v>72</v>
      </c>
      <c r="C20" s="618" t="s">
        <v>73</v>
      </c>
      <c r="D20" s="608"/>
      <c r="E20" s="3" t="s">
        <v>74</v>
      </c>
      <c r="F20" s="21">
        <v>13</v>
      </c>
      <c r="G20" s="537"/>
      <c r="H20" s="21">
        <f>F20*AO20</f>
        <v>0</v>
      </c>
      <c r="I20" s="21">
        <f>F20*AP20</f>
        <v>0</v>
      </c>
      <c r="J20" s="21">
        <f>F20*G20</f>
        <v>0</v>
      </c>
      <c r="K20" s="21">
        <v>0.27</v>
      </c>
      <c r="L20" s="21">
        <f>F20*K20</f>
        <v>3.5100000000000002</v>
      </c>
      <c r="M20" s="22" t="s">
        <v>55</v>
      </c>
      <c r="N20" s="2"/>
      <c r="Z20" s="21">
        <f>IF(AQ20="5",BJ20,0)</f>
        <v>0</v>
      </c>
      <c r="AB20" s="21">
        <f>IF(AQ20="1",BH20,0)</f>
        <v>0</v>
      </c>
      <c r="AC20" s="21">
        <f>IF(AQ20="1",BI20,0)</f>
        <v>0</v>
      </c>
      <c r="AD20" s="21">
        <f>IF(AQ20="7",BH20,0)</f>
        <v>0</v>
      </c>
      <c r="AE20" s="21">
        <f>IF(AQ20="7",BI20,0)</f>
        <v>0</v>
      </c>
      <c r="AF20" s="21">
        <f>IF(AQ20="2",BH20,0)</f>
        <v>0</v>
      </c>
      <c r="AG20" s="21">
        <f>IF(AQ20="2",BI20,0)</f>
        <v>0</v>
      </c>
      <c r="AH20" s="21">
        <f>IF(AQ20="0",BJ20,0)</f>
        <v>0</v>
      </c>
      <c r="AI20" s="10"/>
      <c r="AJ20" s="21">
        <f>IF(AN20=0,J20,0)</f>
        <v>0</v>
      </c>
      <c r="AK20" s="21">
        <f>IF(AN20=15,J20,0)</f>
        <v>0</v>
      </c>
      <c r="AL20" s="21">
        <f>IF(AN20=21,J20,0)</f>
        <v>0</v>
      </c>
      <c r="AN20" s="21">
        <v>21</v>
      </c>
      <c r="AO20" s="21">
        <f>G20*0</f>
        <v>0</v>
      </c>
      <c r="AP20" s="21">
        <f>G20*(1-0)</f>
        <v>0</v>
      </c>
      <c r="AQ20" s="23" t="s">
        <v>51</v>
      </c>
      <c r="AV20" s="21">
        <f>AW20+AX20</f>
        <v>0</v>
      </c>
      <c r="AW20" s="21">
        <f>F20*AO20</f>
        <v>0</v>
      </c>
      <c r="AX20" s="21">
        <f>F20*AP20</f>
        <v>0</v>
      </c>
      <c r="AY20" s="23" t="s">
        <v>56</v>
      </c>
      <c r="AZ20" s="23" t="s">
        <v>57</v>
      </c>
      <c r="BA20" s="10" t="s">
        <v>58</v>
      </c>
      <c r="BC20" s="21">
        <f>AW20+AX20</f>
        <v>0</v>
      </c>
      <c r="BD20" s="21">
        <f>G20/(100-BE20)*100</f>
        <v>0</v>
      </c>
      <c r="BE20" s="21">
        <v>0</v>
      </c>
      <c r="BF20" s="21">
        <f>L20</f>
        <v>3.5100000000000002</v>
      </c>
      <c r="BH20" s="21">
        <f>F20*AO20</f>
        <v>0</v>
      </c>
      <c r="BI20" s="21">
        <f>F20*AP20</f>
        <v>0</v>
      </c>
      <c r="BJ20" s="21">
        <f>F20*G20</f>
        <v>0</v>
      </c>
      <c r="BK20" s="21" t="s">
        <v>59</v>
      </c>
      <c r="BL20" s="21">
        <v>11</v>
      </c>
    </row>
    <row r="21" spans="1:14" ht="15">
      <c r="A21" s="2"/>
      <c r="C21" s="24" t="s">
        <v>75</v>
      </c>
      <c r="D21" s="24"/>
      <c r="F21" s="25">
        <v>13</v>
      </c>
      <c r="M21" s="26"/>
      <c r="N21" s="2"/>
    </row>
    <row r="22" spans="1:47" ht="15">
      <c r="A22" s="41"/>
      <c r="B22" s="42" t="s">
        <v>76</v>
      </c>
      <c r="C22" s="637" t="s">
        <v>77</v>
      </c>
      <c r="D22" s="638"/>
      <c r="E22" s="43" t="s">
        <v>4</v>
      </c>
      <c r="F22" s="43" t="s">
        <v>4</v>
      </c>
      <c r="G22" s="43" t="s">
        <v>4</v>
      </c>
      <c r="H22" s="44">
        <f>SUM(H23:H28)</f>
        <v>0</v>
      </c>
      <c r="I22" s="44">
        <f>SUM(I23:I28)</f>
        <v>0</v>
      </c>
      <c r="J22" s="44">
        <f>SUM(J23:J28)</f>
        <v>0</v>
      </c>
      <c r="K22" s="45"/>
      <c r="L22" s="44">
        <f>SUM(L23:L28)</f>
        <v>0</v>
      </c>
      <c r="M22" s="46"/>
      <c r="N22" s="2"/>
      <c r="AI22" s="10"/>
      <c r="AS22" s="19">
        <f>SUM(AJ23:AJ28)</f>
        <v>0</v>
      </c>
      <c r="AT22" s="19">
        <f>SUM(AK23:AK28)</f>
        <v>0</v>
      </c>
      <c r="AU22" s="19">
        <f>SUM(AL23:AL28)</f>
        <v>0</v>
      </c>
    </row>
    <row r="23" spans="1:64" ht="15">
      <c r="A23" s="20" t="s">
        <v>78</v>
      </c>
      <c r="B23" s="3" t="s">
        <v>79</v>
      </c>
      <c r="C23" s="618" t="s">
        <v>80</v>
      </c>
      <c r="D23" s="608"/>
      <c r="E23" s="3" t="s">
        <v>81</v>
      </c>
      <c r="F23" s="21">
        <v>378.9</v>
      </c>
      <c r="G23" s="537"/>
      <c r="H23" s="21">
        <f>F23*AO23</f>
        <v>0</v>
      </c>
      <c r="I23" s="21">
        <f>F23*AP23</f>
        <v>0</v>
      </c>
      <c r="J23" s="21">
        <f>F23*G23</f>
        <v>0</v>
      </c>
      <c r="K23" s="21">
        <v>0</v>
      </c>
      <c r="L23" s="21">
        <f>F23*K23</f>
        <v>0</v>
      </c>
      <c r="M23" s="22" t="s">
        <v>55</v>
      </c>
      <c r="N23" s="2"/>
      <c r="Z23" s="21">
        <f>IF(AQ23="5",BJ23,0)</f>
        <v>0</v>
      </c>
      <c r="AB23" s="21">
        <f>IF(AQ23="1",BH23,0)</f>
        <v>0</v>
      </c>
      <c r="AC23" s="21">
        <f>IF(AQ23="1",BI23,0)</f>
        <v>0</v>
      </c>
      <c r="AD23" s="21">
        <f>IF(AQ23="7",BH23,0)</f>
        <v>0</v>
      </c>
      <c r="AE23" s="21">
        <f>IF(AQ23="7",BI23,0)</f>
        <v>0</v>
      </c>
      <c r="AF23" s="21">
        <f>IF(AQ23="2",BH23,0)</f>
        <v>0</v>
      </c>
      <c r="AG23" s="21">
        <f>IF(AQ23="2",BI23,0)</f>
        <v>0</v>
      </c>
      <c r="AH23" s="21">
        <f>IF(AQ23="0",BJ23,0)</f>
        <v>0</v>
      </c>
      <c r="AI23" s="10"/>
      <c r="AJ23" s="21">
        <f>IF(AN23=0,J23,0)</f>
        <v>0</v>
      </c>
      <c r="AK23" s="21">
        <f>IF(AN23=15,J23,0)</f>
        <v>0</v>
      </c>
      <c r="AL23" s="21">
        <f>IF(AN23=21,J23,0)</f>
        <v>0</v>
      </c>
      <c r="AN23" s="21">
        <v>21</v>
      </c>
      <c r="AO23" s="21">
        <f>G23*0</f>
        <v>0</v>
      </c>
      <c r="AP23" s="21">
        <f>G23*(1-0)</f>
        <v>0</v>
      </c>
      <c r="AQ23" s="23" t="s">
        <v>51</v>
      </c>
      <c r="AV23" s="21">
        <f>AW23+AX23</f>
        <v>0</v>
      </c>
      <c r="AW23" s="21">
        <f>F23*AO23</f>
        <v>0</v>
      </c>
      <c r="AX23" s="21">
        <f>F23*AP23</f>
        <v>0</v>
      </c>
      <c r="AY23" s="23" t="s">
        <v>82</v>
      </c>
      <c r="AZ23" s="23" t="s">
        <v>57</v>
      </c>
      <c r="BA23" s="10" t="s">
        <v>58</v>
      </c>
      <c r="BC23" s="21">
        <f>AW23+AX23</f>
        <v>0</v>
      </c>
      <c r="BD23" s="21">
        <f>G23/(100-BE23)*100</f>
        <v>0</v>
      </c>
      <c r="BE23" s="21">
        <v>0</v>
      </c>
      <c r="BF23" s="21">
        <f>L23</f>
        <v>0</v>
      </c>
      <c r="BH23" s="21">
        <f>F23*AO23</f>
        <v>0</v>
      </c>
      <c r="BI23" s="21">
        <f>F23*AP23</f>
        <v>0</v>
      </c>
      <c r="BJ23" s="21">
        <f>F23*G23</f>
        <v>0</v>
      </c>
      <c r="BK23" s="21" t="s">
        <v>59</v>
      </c>
      <c r="BL23" s="21">
        <v>12</v>
      </c>
    </row>
    <row r="24" spans="1:14" ht="15">
      <c r="A24" s="2"/>
      <c r="C24" s="24" t="s">
        <v>83</v>
      </c>
      <c r="D24" s="24"/>
      <c r="F24" s="25">
        <v>378.9</v>
      </c>
      <c r="M24" s="26"/>
      <c r="N24" s="2"/>
    </row>
    <row r="25" spans="1:14" ht="15">
      <c r="A25" s="2"/>
      <c r="B25" s="27" t="s">
        <v>61</v>
      </c>
      <c r="C25" s="634" t="s">
        <v>84</v>
      </c>
      <c r="D25" s="635"/>
      <c r="E25" s="635"/>
      <c r="F25" s="635"/>
      <c r="G25" s="635"/>
      <c r="H25" s="635"/>
      <c r="I25" s="635"/>
      <c r="J25" s="635"/>
      <c r="K25" s="635"/>
      <c r="L25" s="635"/>
      <c r="M25" s="636"/>
      <c r="N25" s="2"/>
    </row>
    <row r="26" spans="1:64" ht="15">
      <c r="A26" s="20" t="s">
        <v>85</v>
      </c>
      <c r="B26" s="3" t="s">
        <v>86</v>
      </c>
      <c r="C26" s="618" t="s">
        <v>87</v>
      </c>
      <c r="D26" s="608"/>
      <c r="E26" s="3" t="s">
        <v>81</v>
      </c>
      <c r="F26" s="21">
        <v>505</v>
      </c>
      <c r="G26" s="537"/>
      <c r="H26" s="21">
        <f>F26*AO26</f>
        <v>0</v>
      </c>
      <c r="I26" s="21">
        <f>F26*AP26</f>
        <v>0</v>
      </c>
      <c r="J26" s="21">
        <f>F26*G26</f>
        <v>0</v>
      </c>
      <c r="K26" s="21">
        <v>0</v>
      </c>
      <c r="L26" s="21">
        <f>F26*K26</f>
        <v>0</v>
      </c>
      <c r="M26" s="22" t="s">
        <v>55</v>
      </c>
      <c r="N26" s="2"/>
      <c r="Z26" s="21">
        <f>IF(AQ26="5",BJ26,0)</f>
        <v>0</v>
      </c>
      <c r="AB26" s="21">
        <f>IF(AQ26="1",BH26,0)</f>
        <v>0</v>
      </c>
      <c r="AC26" s="21">
        <f>IF(AQ26="1",BI26,0)</f>
        <v>0</v>
      </c>
      <c r="AD26" s="21">
        <f>IF(AQ26="7",BH26,0)</f>
        <v>0</v>
      </c>
      <c r="AE26" s="21">
        <f>IF(AQ26="7",BI26,0)</f>
        <v>0</v>
      </c>
      <c r="AF26" s="21">
        <f>IF(AQ26="2",BH26,0)</f>
        <v>0</v>
      </c>
      <c r="AG26" s="21">
        <f>IF(AQ26="2",BI26,0)</f>
        <v>0</v>
      </c>
      <c r="AH26" s="21">
        <f>IF(AQ26="0",BJ26,0)</f>
        <v>0</v>
      </c>
      <c r="AI26" s="10"/>
      <c r="AJ26" s="21">
        <f>IF(AN26=0,J26,0)</f>
        <v>0</v>
      </c>
      <c r="AK26" s="21">
        <f>IF(AN26=15,J26,0)</f>
        <v>0</v>
      </c>
      <c r="AL26" s="21">
        <f>IF(AN26=21,J26,0)</f>
        <v>0</v>
      </c>
      <c r="AN26" s="21">
        <v>21</v>
      </c>
      <c r="AO26" s="21">
        <f>G26*0</f>
        <v>0</v>
      </c>
      <c r="AP26" s="21">
        <f>G26*(1-0)</f>
        <v>0</v>
      </c>
      <c r="AQ26" s="23" t="s">
        <v>51</v>
      </c>
      <c r="AV26" s="21">
        <f>AW26+AX26</f>
        <v>0</v>
      </c>
      <c r="AW26" s="21">
        <f>F26*AO26</f>
        <v>0</v>
      </c>
      <c r="AX26" s="21">
        <f>F26*AP26</f>
        <v>0</v>
      </c>
      <c r="AY26" s="23" t="s">
        <v>82</v>
      </c>
      <c r="AZ26" s="23" t="s">
        <v>57</v>
      </c>
      <c r="BA26" s="10" t="s">
        <v>58</v>
      </c>
      <c r="BC26" s="21">
        <f>AW26+AX26</f>
        <v>0</v>
      </c>
      <c r="BD26" s="21">
        <f>G26/(100-BE26)*100</f>
        <v>0</v>
      </c>
      <c r="BE26" s="21">
        <v>0</v>
      </c>
      <c r="BF26" s="21">
        <f>L26</f>
        <v>0</v>
      </c>
      <c r="BH26" s="21">
        <f>F26*AO26</f>
        <v>0</v>
      </c>
      <c r="BI26" s="21">
        <f>F26*AP26</f>
        <v>0</v>
      </c>
      <c r="BJ26" s="21">
        <f>F26*G26</f>
        <v>0</v>
      </c>
      <c r="BK26" s="21" t="s">
        <v>59</v>
      </c>
      <c r="BL26" s="21">
        <v>12</v>
      </c>
    </row>
    <row r="27" spans="1:14" ht="15">
      <c r="A27" s="2"/>
      <c r="C27" s="24" t="s">
        <v>88</v>
      </c>
      <c r="D27" s="24"/>
      <c r="F27" s="25">
        <v>505</v>
      </c>
      <c r="M27" s="26"/>
      <c r="N27" s="2"/>
    </row>
    <row r="28" spans="1:64" ht="15">
      <c r="A28" s="20" t="s">
        <v>89</v>
      </c>
      <c r="B28" s="3" t="s">
        <v>90</v>
      </c>
      <c r="C28" s="618" t="s">
        <v>91</v>
      </c>
      <c r="D28" s="608"/>
      <c r="E28" s="3" t="s">
        <v>81</v>
      </c>
      <c r="F28" s="21">
        <v>505</v>
      </c>
      <c r="G28" s="537"/>
      <c r="H28" s="21">
        <f>F28*AO28</f>
        <v>0</v>
      </c>
      <c r="I28" s="21">
        <f>F28*AP28</f>
        <v>0</v>
      </c>
      <c r="J28" s="21">
        <f>F28*G28</f>
        <v>0</v>
      </c>
      <c r="K28" s="21">
        <v>0</v>
      </c>
      <c r="L28" s="21">
        <f>F28*K28</f>
        <v>0</v>
      </c>
      <c r="M28" s="22" t="s">
        <v>55</v>
      </c>
      <c r="N28" s="2"/>
      <c r="Z28" s="21">
        <f>IF(AQ28="5",BJ28,0)</f>
        <v>0</v>
      </c>
      <c r="AB28" s="21">
        <f>IF(AQ28="1",BH28,0)</f>
        <v>0</v>
      </c>
      <c r="AC28" s="21">
        <f>IF(AQ28="1",BI28,0)</f>
        <v>0</v>
      </c>
      <c r="AD28" s="21">
        <f>IF(AQ28="7",BH28,0)</f>
        <v>0</v>
      </c>
      <c r="AE28" s="21">
        <f>IF(AQ28="7",BI28,0)</f>
        <v>0</v>
      </c>
      <c r="AF28" s="21">
        <f>IF(AQ28="2",BH28,0)</f>
        <v>0</v>
      </c>
      <c r="AG28" s="21">
        <f>IF(AQ28="2",BI28,0)</f>
        <v>0</v>
      </c>
      <c r="AH28" s="21">
        <f>IF(AQ28="0",BJ28,0)</f>
        <v>0</v>
      </c>
      <c r="AI28" s="10"/>
      <c r="AJ28" s="21">
        <f>IF(AN28=0,J28,0)</f>
        <v>0</v>
      </c>
      <c r="AK28" s="21">
        <f>IF(AN28=15,J28,0)</f>
        <v>0</v>
      </c>
      <c r="AL28" s="21">
        <f>IF(AN28=21,J28,0)</f>
        <v>0</v>
      </c>
      <c r="AN28" s="21">
        <v>21</v>
      </c>
      <c r="AO28" s="21">
        <f>G28*0</f>
        <v>0</v>
      </c>
      <c r="AP28" s="21">
        <f>G28*(1-0)</f>
        <v>0</v>
      </c>
      <c r="AQ28" s="23" t="s">
        <v>51</v>
      </c>
      <c r="AV28" s="21">
        <f>AW28+AX28</f>
        <v>0</v>
      </c>
      <c r="AW28" s="21">
        <f>F28*AO28</f>
        <v>0</v>
      </c>
      <c r="AX28" s="21">
        <f>F28*AP28</f>
        <v>0</v>
      </c>
      <c r="AY28" s="23" t="s">
        <v>82</v>
      </c>
      <c r="AZ28" s="23" t="s">
        <v>57</v>
      </c>
      <c r="BA28" s="10" t="s">
        <v>58</v>
      </c>
      <c r="BC28" s="21">
        <f>AW28+AX28</f>
        <v>0</v>
      </c>
      <c r="BD28" s="21">
        <f>G28/(100-BE28)*100</f>
        <v>0</v>
      </c>
      <c r="BE28" s="21">
        <v>0</v>
      </c>
      <c r="BF28" s="21">
        <f>L28</f>
        <v>0</v>
      </c>
      <c r="BH28" s="21">
        <f>F28*AO28</f>
        <v>0</v>
      </c>
      <c r="BI28" s="21">
        <f>F28*AP28</f>
        <v>0</v>
      </c>
      <c r="BJ28" s="21">
        <f>F28*G28</f>
        <v>0</v>
      </c>
      <c r="BK28" s="21" t="s">
        <v>59</v>
      </c>
      <c r="BL28" s="21">
        <v>12</v>
      </c>
    </row>
    <row r="29" spans="1:14" ht="15">
      <c r="A29" s="2"/>
      <c r="C29" s="24" t="s">
        <v>88</v>
      </c>
      <c r="D29" s="24"/>
      <c r="F29" s="25">
        <v>505</v>
      </c>
      <c r="M29" s="26"/>
      <c r="N29" s="2"/>
    </row>
    <row r="30" spans="1:47" ht="15">
      <c r="A30" s="41"/>
      <c r="B30" s="42" t="s">
        <v>92</v>
      </c>
      <c r="C30" s="637" t="s">
        <v>93</v>
      </c>
      <c r="D30" s="638"/>
      <c r="E30" s="43" t="s">
        <v>4</v>
      </c>
      <c r="F30" s="43" t="s">
        <v>4</v>
      </c>
      <c r="G30" s="43" t="s">
        <v>4</v>
      </c>
      <c r="H30" s="44">
        <f>SUM(H31:H33)</f>
        <v>0</v>
      </c>
      <c r="I30" s="44">
        <f>SUM(I31:I33)</f>
        <v>0</v>
      </c>
      <c r="J30" s="44">
        <f>SUM(J31:J33)</f>
        <v>0</v>
      </c>
      <c r="K30" s="45"/>
      <c r="L30" s="44">
        <f>SUM(L31:L33)</f>
        <v>0</v>
      </c>
      <c r="M30" s="46"/>
      <c r="N30" s="2"/>
      <c r="AI30" s="10"/>
      <c r="AS30" s="19">
        <f>SUM(AJ31:AJ33)</f>
        <v>0</v>
      </c>
      <c r="AT30" s="19">
        <f>SUM(AK31:AK33)</f>
        <v>0</v>
      </c>
      <c r="AU30" s="19">
        <f>SUM(AL31:AL33)</f>
        <v>0</v>
      </c>
    </row>
    <row r="31" spans="1:64" ht="15">
      <c r="A31" s="20" t="s">
        <v>94</v>
      </c>
      <c r="B31" s="3" t="s">
        <v>95</v>
      </c>
      <c r="C31" s="618" t="s">
        <v>96</v>
      </c>
      <c r="D31" s="608"/>
      <c r="E31" s="3" t="s">
        <v>81</v>
      </c>
      <c r="F31" s="21">
        <v>378.9</v>
      </c>
      <c r="G31" s="537"/>
      <c r="H31" s="21">
        <f>F31*AO31</f>
        <v>0</v>
      </c>
      <c r="I31" s="21">
        <f>F31*AP31</f>
        <v>0</v>
      </c>
      <c r="J31" s="21">
        <f>F31*G31</f>
        <v>0</v>
      </c>
      <c r="K31" s="21">
        <v>0</v>
      </c>
      <c r="L31" s="21">
        <f>F31*K31</f>
        <v>0</v>
      </c>
      <c r="M31" s="22" t="s">
        <v>55</v>
      </c>
      <c r="N31" s="2"/>
      <c r="Z31" s="21">
        <f>IF(AQ31="5",BJ31,0)</f>
        <v>0</v>
      </c>
      <c r="AB31" s="21">
        <f>IF(AQ31="1",BH31,0)</f>
        <v>0</v>
      </c>
      <c r="AC31" s="21">
        <f>IF(AQ31="1",BI31,0)</f>
        <v>0</v>
      </c>
      <c r="AD31" s="21">
        <f>IF(AQ31="7",BH31,0)</f>
        <v>0</v>
      </c>
      <c r="AE31" s="21">
        <f>IF(AQ31="7",BI31,0)</f>
        <v>0</v>
      </c>
      <c r="AF31" s="21">
        <f>IF(AQ31="2",BH31,0)</f>
        <v>0</v>
      </c>
      <c r="AG31" s="21">
        <f>IF(AQ31="2",BI31,0)</f>
        <v>0</v>
      </c>
      <c r="AH31" s="21">
        <f>IF(AQ31="0",BJ31,0)</f>
        <v>0</v>
      </c>
      <c r="AI31" s="10"/>
      <c r="AJ31" s="21">
        <f>IF(AN31=0,J31,0)</f>
        <v>0</v>
      </c>
      <c r="AK31" s="21">
        <f>IF(AN31=15,J31,0)</f>
        <v>0</v>
      </c>
      <c r="AL31" s="21">
        <f>IF(AN31=21,J31,0)</f>
        <v>0</v>
      </c>
      <c r="AN31" s="21">
        <v>21</v>
      </c>
      <c r="AO31" s="21">
        <f>G31*0</f>
        <v>0</v>
      </c>
      <c r="AP31" s="21">
        <f>G31*(1-0)</f>
        <v>0</v>
      </c>
      <c r="AQ31" s="23" t="s">
        <v>51</v>
      </c>
      <c r="AV31" s="21">
        <f>AW31+AX31</f>
        <v>0</v>
      </c>
      <c r="AW31" s="21">
        <f>F31*AO31</f>
        <v>0</v>
      </c>
      <c r="AX31" s="21">
        <f>F31*AP31</f>
        <v>0</v>
      </c>
      <c r="AY31" s="23" t="s">
        <v>97</v>
      </c>
      <c r="AZ31" s="23" t="s">
        <v>57</v>
      </c>
      <c r="BA31" s="10" t="s">
        <v>58</v>
      </c>
      <c r="BC31" s="21">
        <f>AW31+AX31</f>
        <v>0</v>
      </c>
      <c r="BD31" s="21">
        <f>G31/(100-BE31)*100</f>
        <v>0</v>
      </c>
      <c r="BE31" s="21">
        <v>0</v>
      </c>
      <c r="BF31" s="21">
        <f>L31</f>
        <v>0</v>
      </c>
      <c r="BH31" s="21">
        <f>F31*AO31</f>
        <v>0</v>
      </c>
      <c r="BI31" s="21">
        <f>F31*AP31</f>
        <v>0</v>
      </c>
      <c r="BJ31" s="21">
        <f>F31*G31</f>
        <v>0</v>
      </c>
      <c r="BK31" s="21" t="s">
        <v>59</v>
      </c>
      <c r="BL31" s="21">
        <v>16</v>
      </c>
    </row>
    <row r="32" spans="1:14" ht="15">
      <c r="A32" s="2"/>
      <c r="C32" s="24" t="s">
        <v>83</v>
      </c>
      <c r="D32" s="24"/>
      <c r="F32" s="25">
        <v>378.9</v>
      </c>
      <c r="M32" s="26"/>
      <c r="N32" s="2"/>
    </row>
    <row r="33" spans="1:64" ht="15">
      <c r="A33" s="20" t="s">
        <v>98</v>
      </c>
      <c r="B33" s="3" t="s">
        <v>99</v>
      </c>
      <c r="C33" s="618" t="s">
        <v>100</v>
      </c>
      <c r="D33" s="608"/>
      <c r="E33" s="3" t="s">
        <v>81</v>
      </c>
      <c r="F33" s="21">
        <v>944</v>
      </c>
      <c r="G33" s="537"/>
      <c r="H33" s="21">
        <f>F33*AO33</f>
        <v>0</v>
      </c>
      <c r="I33" s="21">
        <f>F33*AP33</f>
        <v>0</v>
      </c>
      <c r="J33" s="21">
        <f>F33*G33</f>
        <v>0</v>
      </c>
      <c r="K33" s="21">
        <v>0</v>
      </c>
      <c r="L33" s="21">
        <f>F33*K33</f>
        <v>0</v>
      </c>
      <c r="M33" s="22" t="s">
        <v>55</v>
      </c>
      <c r="N33" s="2"/>
      <c r="Z33" s="21">
        <f>IF(AQ33="5",BJ33,0)</f>
        <v>0</v>
      </c>
      <c r="AB33" s="21">
        <f>IF(AQ33="1",BH33,0)</f>
        <v>0</v>
      </c>
      <c r="AC33" s="21">
        <f>IF(AQ33="1",BI33,0)</f>
        <v>0</v>
      </c>
      <c r="AD33" s="21">
        <f>IF(AQ33="7",BH33,0)</f>
        <v>0</v>
      </c>
      <c r="AE33" s="21">
        <f>IF(AQ33="7",BI33,0)</f>
        <v>0</v>
      </c>
      <c r="AF33" s="21">
        <f>IF(AQ33="2",BH33,0)</f>
        <v>0</v>
      </c>
      <c r="AG33" s="21">
        <f>IF(AQ33="2",BI33,0)</f>
        <v>0</v>
      </c>
      <c r="AH33" s="21">
        <f>IF(AQ33="0",BJ33,0)</f>
        <v>0</v>
      </c>
      <c r="AI33" s="10"/>
      <c r="AJ33" s="21">
        <f>IF(AN33=0,J33,0)</f>
        <v>0</v>
      </c>
      <c r="AK33" s="21">
        <f>IF(AN33=15,J33,0)</f>
        <v>0</v>
      </c>
      <c r="AL33" s="21">
        <f>IF(AN33=21,J33,0)</f>
        <v>0</v>
      </c>
      <c r="AN33" s="21">
        <v>21</v>
      </c>
      <c r="AO33" s="21">
        <f>G33*0</f>
        <v>0</v>
      </c>
      <c r="AP33" s="21">
        <f>G33*(1-0)</f>
        <v>0</v>
      </c>
      <c r="AQ33" s="23" t="s">
        <v>51</v>
      </c>
      <c r="AV33" s="21">
        <f>AW33+AX33</f>
        <v>0</v>
      </c>
      <c r="AW33" s="21">
        <f>F33*AO33</f>
        <v>0</v>
      </c>
      <c r="AX33" s="21">
        <f>F33*AP33</f>
        <v>0</v>
      </c>
      <c r="AY33" s="23" t="s">
        <v>97</v>
      </c>
      <c r="AZ33" s="23" t="s">
        <v>57</v>
      </c>
      <c r="BA33" s="10" t="s">
        <v>58</v>
      </c>
      <c r="BC33" s="21">
        <f>AW33+AX33</f>
        <v>0</v>
      </c>
      <c r="BD33" s="21">
        <f>G33/(100-BE33)*100</f>
        <v>0</v>
      </c>
      <c r="BE33" s="21">
        <v>0</v>
      </c>
      <c r="BF33" s="21">
        <f>L33</f>
        <v>0</v>
      </c>
      <c r="BH33" s="21">
        <f>F33*AO33</f>
        <v>0</v>
      </c>
      <c r="BI33" s="21">
        <f>F33*AP33</f>
        <v>0</v>
      </c>
      <c r="BJ33" s="21">
        <f>F33*G33</f>
        <v>0</v>
      </c>
      <c r="BK33" s="21" t="s">
        <v>59</v>
      </c>
      <c r="BL33" s="21">
        <v>16</v>
      </c>
    </row>
    <row r="34" spans="1:14" ht="15">
      <c r="A34" s="2"/>
      <c r="C34" s="24" t="s">
        <v>101</v>
      </c>
      <c r="D34" s="24"/>
      <c r="F34" s="25">
        <v>944</v>
      </c>
      <c r="M34" s="26"/>
      <c r="N34" s="2"/>
    </row>
    <row r="35" spans="1:47" ht="15">
      <c r="A35" s="41"/>
      <c r="B35" s="42" t="s">
        <v>102</v>
      </c>
      <c r="C35" s="637" t="s">
        <v>103</v>
      </c>
      <c r="D35" s="638"/>
      <c r="E35" s="43" t="s">
        <v>4</v>
      </c>
      <c r="F35" s="43" t="s">
        <v>4</v>
      </c>
      <c r="G35" s="43" t="s">
        <v>4</v>
      </c>
      <c r="H35" s="44">
        <f>SUM(H36:H39)</f>
        <v>0</v>
      </c>
      <c r="I35" s="44">
        <f>SUM(I36:I39)</f>
        <v>0</v>
      </c>
      <c r="J35" s="44">
        <f>SUM(J36:J39)</f>
        <v>0</v>
      </c>
      <c r="K35" s="45"/>
      <c r="L35" s="44">
        <f>SUM(L36:L39)</f>
        <v>0</v>
      </c>
      <c r="M35" s="46"/>
      <c r="N35" s="2"/>
      <c r="AI35" s="10"/>
      <c r="AS35" s="19">
        <f>SUM(AJ36:AJ39)</f>
        <v>0</v>
      </c>
      <c r="AT35" s="19">
        <f>SUM(AK36:AK39)</f>
        <v>0</v>
      </c>
      <c r="AU35" s="19">
        <f>SUM(AL36:AL39)</f>
        <v>0</v>
      </c>
    </row>
    <row r="36" spans="1:64" ht="15">
      <c r="A36" s="20" t="s">
        <v>104</v>
      </c>
      <c r="B36" s="3" t="s">
        <v>105</v>
      </c>
      <c r="C36" s="618" t="s">
        <v>106</v>
      </c>
      <c r="D36" s="608"/>
      <c r="E36" s="3" t="s">
        <v>81</v>
      </c>
      <c r="F36" s="21">
        <v>31</v>
      </c>
      <c r="G36" s="537"/>
      <c r="H36" s="21">
        <f>F36*AO36</f>
        <v>0</v>
      </c>
      <c r="I36" s="21">
        <f>F36*AP36</f>
        <v>0</v>
      </c>
      <c r="J36" s="21">
        <f>F36*G36</f>
        <v>0</v>
      </c>
      <c r="K36" s="21">
        <v>0</v>
      </c>
      <c r="L36" s="21">
        <f>F36*K36</f>
        <v>0</v>
      </c>
      <c r="M36" s="22" t="s">
        <v>55</v>
      </c>
      <c r="N36" s="2"/>
      <c r="Z36" s="21">
        <f>IF(AQ36="5",BJ36,0)</f>
        <v>0</v>
      </c>
      <c r="AB36" s="21">
        <f>IF(AQ36="1",BH36,0)</f>
        <v>0</v>
      </c>
      <c r="AC36" s="21">
        <f>IF(AQ36="1",BI36,0)</f>
        <v>0</v>
      </c>
      <c r="AD36" s="21">
        <f>IF(AQ36="7",BH36,0)</f>
        <v>0</v>
      </c>
      <c r="AE36" s="21">
        <f>IF(AQ36="7",BI36,0)</f>
        <v>0</v>
      </c>
      <c r="AF36" s="21">
        <f>IF(AQ36="2",BH36,0)</f>
        <v>0</v>
      </c>
      <c r="AG36" s="21">
        <f>IF(AQ36="2",BI36,0)</f>
        <v>0</v>
      </c>
      <c r="AH36" s="21">
        <f>IF(AQ36="0",BJ36,0)</f>
        <v>0</v>
      </c>
      <c r="AI36" s="10"/>
      <c r="AJ36" s="21">
        <f>IF(AN36=0,J36,0)</f>
        <v>0</v>
      </c>
      <c r="AK36" s="21">
        <f>IF(AN36=15,J36,0)</f>
        <v>0</v>
      </c>
      <c r="AL36" s="21">
        <f>IF(AN36=21,J36,0)</f>
        <v>0</v>
      </c>
      <c r="AN36" s="21">
        <v>21</v>
      </c>
      <c r="AO36" s="21">
        <f>G36*0</f>
        <v>0</v>
      </c>
      <c r="AP36" s="21">
        <f>G36*(1-0)</f>
        <v>0</v>
      </c>
      <c r="AQ36" s="23" t="s">
        <v>51</v>
      </c>
      <c r="AV36" s="21">
        <f>AW36+AX36</f>
        <v>0</v>
      </c>
      <c r="AW36" s="21">
        <f>F36*AO36</f>
        <v>0</v>
      </c>
      <c r="AX36" s="21">
        <f>F36*AP36</f>
        <v>0</v>
      </c>
      <c r="AY36" s="23" t="s">
        <v>107</v>
      </c>
      <c r="AZ36" s="23" t="s">
        <v>57</v>
      </c>
      <c r="BA36" s="10" t="s">
        <v>58</v>
      </c>
      <c r="BC36" s="21">
        <f>AW36+AX36</f>
        <v>0</v>
      </c>
      <c r="BD36" s="21">
        <f>G36/(100-BE36)*100</f>
        <v>0</v>
      </c>
      <c r="BE36" s="21">
        <v>0</v>
      </c>
      <c r="BF36" s="21">
        <f>L36</f>
        <v>0</v>
      </c>
      <c r="BH36" s="21">
        <f>F36*AO36</f>
        <v>0</v>
      </c>
      <c r="BI36" s="21">
        <f>F36*AP36</f>
        <v>0</v>
      </c>
      <c r="BJ36" s="21">
        <f>F36*G36</f>
        <v>0</v>
      </c>
      <c r="BK36" s="21" t="s">
        <v>59</v>
      </c>
      <c r="BL36" s="21">
        <v>17</v>
      </c>
    </row>
    <row r="37" spans="1:14" ht="15">
      <c r="A37" s="2"/>
      <c r="C37" s="24" t="s">
        <v>108</v>
      </c>
      <c r="D37" s="24"/>
      <c r="F37" s="25">
        <v>31</v>
      </c>
      <c r="M37" s="26"/>
      <c r="N37" s="2"/>
    </row>
    <row r="38" spans="1:14" ht="15">
      <c r="A38" s="2"/>
      <c r="B38" s="27" t="s">
        <v>61</v>
      </c>
      <c r="C38" s="634" t="s">
        <v>109</v>
      </c>
      <c r="D38" s="635"/>
      <c r="E38" s="635"/>
      <c r="F38" s="635"/>
      <c r="G38" s="635"/>
      <c r="H38" s="635"/>
      <c r="I38" s="635"/>
      <c r="J38" s="635"/>
      <c r="K38" s="635"/>
      <c r="L38" s="635"/>
      <c r="M38" s="636"/>
      <c r="N38" s="2"/>
    </row>
    <row r="39" spans="1:64" ht="15">
      <c r="A39" s="20" t="s">
        <v>49</v>
      </c>
      <c r="B39" s="3" t="s">
        <v>110</v>
      </c>
      <c r="C39" s="618" t="s">
        <v>111</v>
      </c>
      <c r="D39" s="608"/>
      <c r="E39" s="3" t="s">
        <v>81</v>
      </c>
      <c r="F39" s="21">
        <v>35</v>
      </c>
      <c r="G39" s="537"/>
      <c r="H39" s="21">
        <f>F39*AO39</f>
        <v>0</v>
      </c>
      <c r="I39" s="21">
        <f>F39*AP39</f>
        <v>0</v>
      </c>
      <c r="J39" s="21">
        <f>F39*G39</f>
        <v>0</v>
      </c>
      <c r="K39" s="21">
        <v>0</v>
      </c>
      <c r="L39" s="21">
        <f>F39*K39</f>
        <v>0</v>
      </c>
      <c r="M39" s="22" t="s">
        <v>55</v>
      </c>
      <c r="N39" s="2"/>
      <c r="Z39" s="21">
        <f>IF(AQ39="5",BJ39,0)</f>
        <v>0</v>
      </c>
      <c r="AB39" s="21">
        <f>IF(AQ39="1",BH39,0)</f>
        <v>0</v>
      </c>
      <c r="AC39" s="21">
        <f>IF(AQ39="1",BI39,0)</f>
        <v>0</v>
      </c>
      <c r="AD39" s="21">
        <f>IF(AQ39="7",BH39,0)</f>
        <v>0</v>
      </c>
      <c r="AE39" s="21">
        <f>IF(AQ39="7",BI39,0)</f>
        <v>0</v>
      </c>
      <c r="AF39" s="21">
        <f>IF(AQ39="2",BH39,0)</f>
        <v>0</v>
      </c>
      <c r="AG39" s="21">
        <f>IF(AQ39="2",BI39,0)</f>
        <v>0</v>
      </c>
      <c r="AH39" s="21">
        <f>IF(AQ39="0",BJ39,0)</f>
        <v>0</v>
      </c>
      <c r="AI39" s="10"/>
      <c r="AJ39" s="21">
        <f>IF(AN39=0,J39,0)</f>
        <v>0</v>
      </c>
      <c r="AK39" s="21">
        <f>IF(AN39=15,J39,0)</f>
        <v>0</v>
      </c>
      <c r="AL39" s="21">
        <f>IF(AN39=21,J39,0)</f>
        <v>0</v>
      </c>
      <c r="AN39" s="21">
        <v>21</v>
      </c>
      <c r="AO39" s="21">
        <f>G39*0</f>
        <v>0</v>
      </c>
      <c r="AP39" s="21">
        <f>G39*(1-0)</f>
        <v>0</v>
      </c>
      <c r="AQ39" s="23" t="s">
        <v>51</v>
      </c>
      <c r="AV39" s="21">
        <f>AW39+AX39</f>
        <v>0</v>
      </c>
      <c r="AW39" s="21">
        <f>F39*AO39</f>
        <v>0</v>
      </c>
      <c r="AX39" s="21">
        <f>F39*AP39</f>
        <v>0</v>
      </c>
      <c r="AY39" s="23" t="s">
        <v>107</v>
      </c>
      <c r="AZ39" s="23" t="s">
        <v>57</v>
      </c>
      <c r="BA39" s="10" t="s">
        <v>58</v>
      </c>
      <c r="BC39" s="21">
        <f>AW39+AX39</f>
        <v>0</v>
      </c>
      <c r="BD39" s="21">
        <f>G39/(100-BE39)*100</f>
        <v>0</v>
      </c>
      <c r="BE39" s="21">
        <v>0</v>
      </c>
      <c r="BF39" s="21">
        <f>L39</f>
        <v>0</v>
      </c>
      <c r="BH39" s="21">
        <f>F39*AO39</f>
        <v>0</v>
      </c>
      <c r="BI39" s="21">
        <f>F39*AP39</f>
        <v>0</v>
      </c>
      <c r="BJ39" s="21">
        <f>F39*G39</f>
        <v>0</v>
      </c>
      <c r="BK39" s="21" t="s">
        <v>59</v>
      </c>
      <c r="BL39" s="21">
        <v>17</v>
      </c>
    </row>
    <row r="40" spans="1:14" ht="15">
      <c r="A40" s="2"/>
      <c r="C40" s="24" t="s">
        <v>112</v>
      </c>
      <c r="D40" s="24"/>
      <c r="F40" s="25">
        <v>35</v>
      </c>
      <c r="M40" s="26"/>
      <c r="N40" s="2"/>
    </row>
    <row r="41" spans="1:14" ht="15">
      <c r="A41" s="2"/>
      <c r="B41" s="27" t="s">
        <v>61</v>
      </c>
      <c r="C41" s="634" t="s">
        <v>113</v>
      </c>
      <c r="D41" s="635"/>
      <c r="E41" s="635"/>
      <c r="F41" s="635"/>
      <c r="G41" s="635"/>
      <c r="H41" s="635"/>
      <c r="I41" s="635"/>
      <c r="J41" s="635"/>
      <c r="K41" s="635"/>
      <c r="L41" s="635"/>
      <c r="M41" s="636"/>
      <c r="N41" s="2"/>
    </row>
    <row r="42" spans="1:47" ht="15">
      <c r="A42" s="41"/>
      <c r="B42" s="42" t="s">
        <v>114</v>
      </c>
      <c r="C42" s="637" t="s">
        <v>115</v>
      </c>
      <c r="D42" s="638"/>
      <c r="E42" s="43" t="s">
        <v>4</v>
      </c>
      <c r="F42" s="43" t="s">
        <v>4</v>
      </c>
      <c r="G42" s="43" t="s">
        <v>4</v>
      </c>
      <c r="H42" s="44">
        <f>SUM(H43:H43)</f>
        <v>0</v>
      </c>
      <c r="I42" s="44">
        <f>SUM(I43:I43)</f>
        <v>0</v>
      </c>
      <c r="J42" s="44">
        <f>SUM(J43:J43)</f>
        <v>0</v>
      </c>
      <c r="K42" s="45"/>
      <c r="L42" s="44">
        <f>SUM(L43:L43)</f>
        <v>0</v>
      </c>
      <c r="M42" s="46"/>
      <c r="N42" s="2"/>
      <c r="AI42" s="10"/>
      <c r="AS42" s="19">
        <f>SUM(AJ43:AJ43)</f>
        <v>0</v>
      </c>
      <c r="AT42" s="19">
        <f>SUM(AK43:AK43)</f>
        <v>0</v>
      </c>
      <c r="AU42" s="19">
        <f>SUM(AL43:AL43)</f>
        <v>0</v>
      </c>
    </row>
    <row r="43" spans="1:64" ht="15">
      <c r="A43" s="20" t="s">
        <v>76</v>
      </c>
      <c r="B43" s="3" t="s">
        <v>116</v>
      </c>
      <c r="C43" s="618" t="s">
        <v>117</v>
      </c>
      <c r="D43" s="608"/>
      <c r="E43" s="3" t="s">
        <v>54</v>
      </c>
      <c r="F43" s="21">
        <v>1096</v>
      </c>
      <c r="G43" s="537"/>
      <c r="H43" s="21">
        <f>F43*AO43</f>
        <v>0</v>
      </c>
      <c r="I43" s="21">
        <f>F43*AP43</f>
        <v>0</v>
      </c>
      <c r="J43" s="21">
        <f>F43*G43</f>
        <v>0</v>
      </c>
      <c r="K43" s="21">
        <v>0</v>
      </c>
      <c r="L43" s="21">
        <f>F43*K43</f>
        <v>0</v>
      </c>
      <c r="M43" s="22" t="s">
        <v>55</v>
      </c>
      <c r="N43" s="2"/>
      <c r="Z43" s="21">
        <f>IF(AQ43="5",BJ43,0)</f>
        <v>0</v>
      </c>
      <c r="AB43" s="21">
        <f>IF(AQ43="1",BH43,0)</f>
        <v>0</v>
      </c>
      <c r="AC43" s="21">
        <f>IF(AQ43="1",BI43,0)</f>
        <v>0</v>
      </c>
      <c r="AD43" s="21">
        <f>IF(AQ43="7",BH43,0)</f>
        <v>0</v>
      </c>
      <c r="AE43" s="21">
        <f>IF(AQ43="7",BI43,0)</f>
        <v>0</v>
      </c>
      <c r="AF43" s="21">
        <f>IF(AQ43="2",BH43,0)</f>
        <v>0</v>
      </c>
      <c r="AG43" s="21">
        <f>IF(AQ43="2",BI43,0)</f>
        <v>0</v>
      </c>
      <c r="AH43" s="21">
        <f>IF(AQ43="0",BJ43,0)</f>
        <v>0</v>
      </c>
      <c r="AI43" s="10"/>
      <c r="AJ43" s="21">
        <f>IF(AN43=0,J43,0)</f>
        <v>0</v>
      </c>
      <c r="AK43" s="21">
        <f>IF(AN43=15,J43,0)</f>
        <v>0</v>
      </c>
      <c r="AL43" s="21">
        <f>IF(AN43=21,J43,0)</f>
        <v>0</v>
      </c>
      <c r="AN43" s="21">
        <v>21</v>
      </c>
      <c r="AO43" s="21">
        <f>G43*0</f>
        <v>0</v>
      </c>
      <c r="AP43" s="21">
        <f>G43*(1-0)</f>
        <v>0</v>
      </c>
      <c r="AQ43" s="23" t="s">
        <v>51</v>
      </c>
      <c r="AV43" s="21">
        <f>AW43+AX43</f>
        <v>0</v>
      </c>
      <c r="AW43" s="21">
        <f>F43*AO43</f>
        <v>0</v>
      </c>
      <c r="AX43" s="21">
        <f>F43*AP43</f>
        <v>0</v>
      </c>
      <c r="AY43" s="23" t="s">
        <v>118</v>
      </c>
      <c r="AZ43" s="23" t="s">
        <v>57</v>
      </c>
      <c r="BA43" s="10" t="s">
        <v>58</v>
      </c>
      <c r="BC43" s="21">
        <f>AW43+AX43</f>
        <v>0</v>
      </c>
      <c r="BD43" s="21">
        <f>G43/(100-BE43)*100</f>
        <v>0</v>
      </c>
      <c r="BE43" s="21">
        <v>0</v>
      </c>
      <c r="BF43" s="21">
        <f>L43</f>
        <v>0</v>
      </c>
      <c r="BH43" s="21">
        <f>F43*AO43</f>
        <v>0</v>
      </c>
      <c r="BI43" s="21">
        <f>F43*AP43</f>
        <v>0</v>
      </c>
      <c r="BJ43" s="21">
        <f>F43*G43</f>
        <v>0</v>
      </c>
      <c r="BK43" s="21" t="s">
        <v>59</v>
      </c>
      <c r="BL43" s="21">
        <v>18</v>
      </c>
    </row>
    <row r="44" spans="1:14" ht="15">
      <c r="A44" s="2"/>
      <c r="C44" s="24" t="s">
        <v>119</v>
      </c>
      <c r="D44" s="24"/>
      <c r="F44" s="25">
        <v>1096</v>
      </c>
      <c r="M44" s="26"/>
      <c r="N44" s="2"/>
    </row>
    <row r="45" spans="1:14" ht="15">
      <c r="A45" s="2"/>
      <c r="B45" s="27" t="s">
        <v>61</v>
      </c>
      <c r="C45" s="634" t="s">
        <v>120</v>
      </c>
      <c r="D45" s="635"/>
      <c r="E45" s="635"/>
      <c r="F45" s="635"/>
      <c r="G45" s="635"/>
      <c r="H45" s="635"/>
      <c r="I45" s="635"/>
      <c r="J45" s="635"/>
      <c r="K45" s="635"/>
      <c r="L45" s="635"/>
      <c r="M45" s="636"/>
      <c r="N45" s="2"/>
    </row>
    <row r="46" spans="1:47" ht="15">
      <c r="A46" s="41"/>
      <c r="B46" s="42" t="s">
        <v>121</v>
      </c>
      <c r="C46" s="637" t="s">
        <v>122</v>
      </c>
      <c r="D46" s="638"/>
      <c r="E46" s="43" t="s">
        <v>4</v>
      </c>
      <c r="F46" s="43" t="s">
        <v>4</v>
      </c>
      <c r="G46" s="43" t="s">
        <v>4</v>
      </c>
      <c r="H46" s="44">
        <f>SUM(H47:H49)</f>
        <v>0</v>
      </c>
      <c r="I46" s="44">
        <f>SUM(I47:I49)</f>
        <v>0</v>
      </c>
      <c r="J46" s="44">
        <f>SUM(J47:J49)</f>
        <v>0</v>
      </c>
      <c r="K46" s="45"/>
      <c r="L46" s="44">
        <f>SUM(L47:L49)</f>
        <v>0</v>
      </c>
      <c r="M46" s="46"/>
      <c r="N46" s="2"/>
      <c r="AI46" s="10"/>
      <c r="AS46" s="19">
        <f>SUM(AJ47:AJ49)</f>
        <v>0</v>
      </c>
      <c r="AT46" s="19">
        <f>SUM(AK47:AK49)</f>
        <v>0</v>
      </c>
      <c r="AU46" s="19">
        <f>SUM(AL47:AL49)</f>
        <v>0</v>
      </c>
    </row>
    <row r="47" spans="1:64" ht="15">
      <c r="A47" s="20" t="s">
        <v>75</v>
      </c>
      <c r="B47" s="3" t="s">
        <v>123</v>
      </c>
      <c r="C47" s="618" t="s">
        <v>124</v>
      </c>
      <c r="D47" s="608"/>
      <c r="E47" s="3" t="s">
        <v>125</v>
      </c>
      <c r="F47" s="21">
        <v>1510.4</v>
      </c>
      <c r="G47" s="537"/>
      <c r="H47" s="21">
        <f>F47*AO47</f>
        <v>0</v>
      </c>
      <c r="I47" s="21">
        <f>F47*AP47</f>
        <v>0</v>
      </c>
      <c r="J47" s="21">
        <f>F47*G47</f>
        <v>0</v>
      </c>
      <c r="K47" s="21">
        <v>0</v>
      </c>
      <c r="L47" s="21">
        <f>F47*K47</f>
        <v>0</v>
      </c>
      <c r="M47" s="539" t="s">
        <v>2130</v>
      </c>
      <c r="N47" s="2"/>
      <c r="Z47" s="21">
        <f>IF(AQ47="5",BJ47,0)</f>
        <v>0</v>
      </c>
      <c r="AB47" s="21">
        <f>IF(AQ47="1",BH47,0)</f>
        <v>0</v>
      </c>
      <c r="AC47" s="21">
        <f>IF(AQ47="1",BI47,0)</f>
        <v>0</v>
      </c>
      <c r="AD47" s="21">
        <f>IF(AQ47="7",BH47,0)</f>
        <v>0</v>
      </c>
      <c r="AE47" s="21">
        <f>IF(AQ47="7",BI47,0)</f>
        <v>0</v>
      </c>
      <c r="AF47" s="21">
        <f>IF(AQ47="2",BH47,0)</f>
        <v>0</v>
      </c>
      <c r="AG47" s="21">
        <f>IF(AQ47="2",BI47,0)</f>
        <v>0</v>
      </c>
      <c r="AH47" s="21">
        <f>IF(AQ47="0",BJ47,0)</f>
        <v>0</v>
      </c>
      <c r="AI47" s="10"/>
      <c r="AJ47" s="21">
        <f>IF(AN47=0,J47,0)</f>
        <v>0</v>
      </c>
      <c r="AK47" s="21">
        <f>IF(AN47=15,J47,0)</f>
        <v>0</v>
      </c>
      <c r="AL47" s="21">
        <f>IF(AN47=21,J47,0)</f>
        <v>0</v>
      </c>
      <c r="AN47" s="21">
        <v>21</v>
      </c>
      <c r="AO47" s="21">
        <f>G47*0</f>
        <v>0</v>
      </c>
      <c r="AP47" s="21">
        <f>G47*(1-0)</f>
        <v>0</v>
      </c>
      <c r="AQ47" s="23" t="s">
        <v>51</v>
      </c>
      <c r="AV47" s="21">
        <f>AW47+AX47</f>
        <v>0</v>
      </c>
      <c r="AW47" s="21">
        <f>F47*AO47</f>
        <v>0</v>
      </c>
      <c r="AX47" s="21">
        <f>F47*AP47</f>
        <v>0</v>
      </c>
      <c r="AY47" s="23" t="s">
        <v>126</v>
      </c>
      <c r="AZ47" s="23" t="s">
        <v>57</v>
      </c>
      <c r="BA47" s="10" t="s">
        <v>58</v>
      </c>
      <c r="BC47" s="21">
        <f>AW47+AX47</f>
        <v>0</v>
      </c>
      <c r="BD47" s="21">
        <f>G47/(100-BE47)*100</f>
        <v>0</v>
      </c>
      <c r="BE47" s="21">
        <v>0</v>
      </c>
      <c r="BF47" s="21">
        <f>L47</f>
        <v>0</v>
      </c>
      <c r="BH47" s="21">
        <f>F47*AO47</f>
        <v>0</v>
      </c>
      <c r="BI47" s="21">
        <f>F47*AP47</f>
        <v>0</v>
      </c>
      <c r="BJ47" s="21">
        <f>F47*G47</f>
        <v>0</v>
      </c>
      <c r="BK47" s="21" t="s">
        <v>59</v>
      </c>
      <c r="BL47" s="21">
        <v>19</v>
      </c>
    </row>
    <row r="48" spans="1:14" ht="15">
      <c r="A48" s="2"/>
      <c r="C48" s="24" t="s">
        <v>127</v>
      </c>
      <c r="D48" s="24"/>
      <c r="F48" s="25">
        <v>1510.4</v>
      </c>
      <c r="M48" s="26"/>
      <c r="N48" s="2"/>
    </row>
    <row r="49" spans="1:64" ht="15">
      <c r="A49" s="20" t="s">
        <v>128</v>
      </c>
      <c r="B49" s="3" t="s">
        <v>129</v>
      </c>
      <c r="C49" s="618" t="s">
        <v>130</v>
      </c>
      <c r="D49" s="608"/>
      <c r="E49" s="3" t="s">
        <v>125</v>
      </c>
      <c r="F49" s="21">
        <v>606.24</v>
      </c>
      <c r="G49" s="537"/>
      <c r="H49" s="21">
        <f>F49*AO49</f>
        <v>0</v>
      </c>
      <c r="I49" s="21">
        <f>F49*AP49</f>
        <v>0</v>
      </c>
      <c r="J49" s="21">
        <f>F49*G49</f>
        <v>0</v>
      </c>
      <c r="K49" s="21">
        <v>0</v>
      </c>
      <c r="L49" s="21">
        <f>F49*K49</f>
        <v>0</v>
      </c>
      <c r="M49" s="22" t="s">
        <v>55</v>
      </c>
      <c r="N49" s="2"/>
      <c r="Z49" s="21">
        <f>IF(AQ49="5",BJ49,0)</f>
        <v>0</v>
      </c>
      <c r="AB49" s="21">
        <f>IF(AQ49="1",BH49,0)</f>
        <v>0</v>
      </c>
      <c r="AC49" s="21">
        <f>IF(AQ49="1",BI49,0)</f>
        <v>0</v>
      </c>
      <c r="AD49" s="21">
        <f>IF(AQ49="7",BH49,0)</f>
        <v>0</v>
      </c>
      <c r="AE49" s="21">
        <f>IF(AQ49="7",BI49,0)</f>
        <v>0</v>
      </c>
      <c r="AF49" s="21">
        <f>IF(AQ49="2",BH49,0)</f>
        <v>0</v>
      </c>
      <c r="AG49" s="21">
        <f>IF(AQ49="2",BI49,0)</f>
        <v>0</v>
      </c>
      <c r="AH49" s="21">
        <f>IF(AQ49="0",BJ49,0)</f>
        <v>0</v>
      </c>
      <c r="AI49" s="10"/>
      <c r="AJ49" s="21">
        <f>IF(AN49=0,J49,0)</f>
        <v>0</v>
      </c>
      <c r="AK49" s="21">
        <f>IF(AN49=15,J49,0)</f>
        <v>0</v>
      </c>
      <c r="AL49" s="21">
        <f>IF(AN49=21,J49,0)</f>
        <v>0</v>
      </c>
      <c r="AN49" s="21">
        <v>21</v>
      </c>
      <c r="AO49" s="21">
        <f>G49*0</f>
        <v>0</v>
      </c>
      <c r="AP49" s="21">
        <f>G49*(1-0)</f>
        <v>0</v>
      </c>
      <c r="AQ49" s="23" t="s">
        <v>51</v>
      </c>
      <c r="AV49" s="21">
        <f>AW49+AX49</f>
        <v>0</v>
      </c>
      <c r="AW49" s="21">
        <f>F49*AO49</f>
        <v>0</v>
      </c>
      <c r="AX49" s="21">
        <f>F49*AP49</f>
        <v>0</v>
      </c>
      <c r="AY49" s="23" t="s">
        <v>126</v>
      </c>
      <c r="AZ49" s="23" t="s">
        <v>57</v>
      </c>
      <c r="BA49" s="10" t="s">
        <v>58</v>
      </c>
      <c r="BC49" s="21">
        <f>AW49+AX49</f>
        <v>0</v>
      </c>
      <c r="BD49" s="21">
        <f>G49/(100-BE49)*100</f>
        <v>0</v>
      </c>
      <c r="BE49" s="21">
        <v>0</v>
      </c>
      <c r="BF49" s="21">
        <f>L49</f>
        <v>0</v>
      </c>
      <c r="BH49" s="21">
        <f>F49*AO49</f>
        <v>0</v>
      </c>
      <c r="BI49" s="21">
        <f>F49*AP49</f>
        <v>0</v>
      </c>
      <c r="BJ49" s="21">
        <f>F49*G49</f>
        <v>0</v>
      </c>
      <c r="BK49" s="21" t="s">
        <v>59</v>
      </c>
      <c r="BL49" s="21">
        <v>19</v>
      </c>
    </row>
    <row r="50" spans="1:14" ht="15">
      <c r="A50" s="2"/>
      <c r="C50" s="24" t="s">
        <v>131</v>
      </c>
      <c r="D50" s="24"/>
      <c r="F50" s="25">
        <v>606.24</v>
      </c>
      <c r="M50" s="26"/>
      <c r="N50" s="2"/>
    </row>
    <row r="51" spans="1:47" ht="15">
      <c r="A51" s="41"/>
      <c r="B51" s="42" t="s">
        <v>132</v>
      </c>
      <c r="C51" s="637" t="s">
        <v>133</v>
      </c>
      <c r="D51" s="638"/>
      <c r="E51" s="43" t="s">
        <v>4</v>
      </c>
      <c r="F51" s="43" t="s">
        <v>4</v>
      </c>
      <c r="G51" s="43" t="s">
        <v>4</v>
      </c>
      <c r="H51" s="44">
        <f>SUM(H52:H76)</f>
        <v>0</v>
      </c>
      <c r="I51" s="44">
        <f>SUM(I52:I76)</f>
        <v>0</v>
      </c>
      <c r="J51" s="44">
        <f>SUM(J52:J76)</f>
        <v>0</v>
      </c>
      <c r="K51" s="45"/>
      <c r="L51" s="44">
        <f>SUM(L52:L76)</f>
        <v>1107.195348</v>
      </c>
      <c r="M51" s="46"/>
      <c r="N51" s="2"/>
      <c r="AI51" s="10"/>
      <c r="AS51" s="19">
        <f>SUM(AJ52:AJ76)</f>
        <v>0</v>
      </c>
      <c r="AT51" s="19">
        <f>SUM(AK52:AK76)</f>
        <v>0</v>
      </c>
      <c r="AU51" s="19">
        <f>SUM(AL52:AL76)</f>
        <v>0</v>
      </c>
    </row>
    <row r="52" spans="1:64" ht="15">
      <c r="A52" s="20" t="s">
        <v>66</v>
      </c>
      <c r="B52" s="3" t="s">
        <v>134</v>
      </c>
      <c r="C52" s="618" t="s">
        <v>135</v>
      </c>
      <c r="D52" s="608"/>
      <c r="E52" s="3" t="s">
        <v>54</v>
      </c>
      <c r="F52" s="21">
        <v>878</v>
      </c>
      <c r="G52" s="537"/>
      <c r="H52" s="21">
        <f>F52*AO52</f>
        <v>0</v>
      </c>
      <c r="I52" s="21">
        <f>F52*AP52</f>
        <v>0</v>
      </c>
      <c r="J52" s="21">
        <f>F52*G52</f>
        <v>0</v>
      </c>
      <c r="K52" s="21">
        <v>0.02058</v>
      </c>
      <c r="L52" s="21">
        <f>F52*K52</f>
        <v>18.06924</v>
      </c>
      <c r="M52" s="539" t="s">
        <v>2130</v>
      </c>
      <c r="N52" s="2"/>
      <c r="Z52" s="21">
        <f>IF(AQ52="5",BJ52,0)</f>
        <v>0</v>
      </c>
      <c r="AB52" s="21">
        <f>IF(AQ52="1",BH52,0)</f>
        <v>0</v>
      </c>
      <c r="AC52" s="21">
        <f>IF(AQ52="1",BI52,0)</f>
        <v>0</v>
      </c>
      <c r="AD52" s="21">
        <f>IF(AQ52="7",BH52,0)</f>
        <v>0</v>
      </c>
      <c r="AE52" s="21">
        <f>IF(AQ52="7",BI52,0)</f>
        <v>0</v>
      </c>
      <c r="AF52" s="21">
        <f>IF(AQ52="2",BH52,0)</f>
        <v>0</v>
      </c>
      <c r="AG52" s="21">
        <f>IF(AQ52="2",BI52,0)</f>
        <v>0</v>
      </c>
      <c r="AH52" s="21">
        <f>IF(AQ52="0",BJ52,0)</f>
        <v>0</v>
      </c>
      <c r="AI52" s="10"/>
      <c r="AJ52" s="21">
        <f>IF(AN52=0,J52,0)</f>
        <v>0</v>
      </c>
      <c r="AK52" s="21">
        <f>IF(AN52=15,J52,0)</f>
        <v>0</v>
      </c>
      <c r="AL52" s="21">
        <f>IF(AN52=21,J52,0)</f>
        <v>0</v>
      </c>
      <c r="AN52" s="21">
        <v>21</v>
      </c>
      <c r="AO52" s="21">
        <f>G52*0.5408</f>
        <v>0</v>
      </c>
      <c r="AP52" s="21">
        <f>G52*(1-0.5408)</f>
        <v>0</v>
      </c>
      <c r="AQ52" s="23" t="s">
        <v>51</v>
      </c>
      <c r="AV52" s="21">
        <f>AW52+AX52</f>
        <v>0</v>
      </c>
      <c r="AW52" s="21">
        <f>F52*AO52</f>
        <v>0</v>
      </c>
      <c r="AX52" s="21">
        <f>F52*AP52</f>
        <v>0</v>
      </c>
      <c r="AY52" s="23" t="s">
        <v>136</v>
      </c>
      <c r="AZ52" s="23" t="s">
        <v>137</v>
      </c>
      <c r="BA52" s="10" t="s">
        <v>58</v>
      </c>
      <c r="BC52" s="21">
        <f>AW52+AX52</f>
        <v>0</v>
      </c>
      <c r="BD52" s="21">
        <f>G52/(100-BE52)*100</f>
        <v>0</v>
      </c>
      <c r="BE52" s="21">
        <v>0</v>
      </c>
      <c r="BF52" s="21">
        <f>L52</f>
        <v>18.06924</v>
      </c>
      <c r="BH52" s="21">
        <f>F52*AO52</f>
        <v>0</v>
      </c>
      <c r="BI52" s="21">
        <f>F52*AP52</f>
        <v>0</v>
      </c>
      <c r="BJ52" s="21">
        <f>F52*G52</f>
        <v>0</v>
      </c>
      <c r="BK52" s="21" t="s">
        <v>59</v>
      </c>
      <c r="BL52" s="21">
        <v>56</v>
      </c>
    </row>
    <row r="53" spans="1:14" ht="15">
      <c r="A53" s="2"/>
      <c r="B53" s="27" t="s">
        <v>138</v>
      </c>
      <c r="C53" s="639" t="s">
        <v>139</v>
      </c>
      <c r="D53" s="640"/>
      <c r="E53" s="640"/>
      <c r="F53" s="640"/>
      <c r="G53" s="640"/>
      <c r="H53" s="640"/>
      <c r="I53" s="640"/>
      <c r="J53" s="640"/>
      <c r="K53" s="640"/>
      <c r="L53" s="640"/>
      <c r="M53" s="641"/>
      <c r="N53" s="2"/>
    </row>
    <row r="54" spans="1:14" ht="15">
      <c r="A54" s="2"/>
      <c r="C54" s="24" t="s">
        <v>140</v>
      </c>
      <c r="D54" s="24"/>
      <c r="F54" s="25">
        <v>878</v>
      </c>
      <c r="M54" s="26"/>
      <c r="N54" s="2"/>
    </row>
    <row r="55" spans="1:64" ht="15">
      <c r="A55" s="20" t="s">
        <v>92</v>
      </c>
      <c r="B55" s="3" t="s">
        <v>141</v>
      </c>
      <c r="C55" s="618" t="s">
        <v>142</v>
      </c>
      <c r="D55" s="608"/>
      <c r="E55" s="3" t="s">
        <v>54</v>
      </c>
      <c r="F55" s="21">
        <v>38</v>
      </c>
      <c r="G55" s="537"/>
      <c r="H55" s="21">
        <f>F55*AO55</f>
        <v>0</v>
      </c>
      <c r="I55" s="21">
        <f>F55*AP55</f>
        <v>0</v>
      </c>
      <c r="J55" s="21">
        <f>F55*G55</f>
        <v>0</v>
      </c>
      <c r="K55" s="21">
        <v>0.506</v>
      </c>
      <c r="L55" s="21">
        <f>F55*K55</f>
        <v>19.228</v>
      </c>
      <c r="M55" s="22" t="s">
        <v>55</v>
      </c>
      <c r="N55" s="2"/>
      <c r="Z55" s="21">
        <f>IF(AQ55="5",BJ55,0)</f>
        <v>0</v>
      </c>
      <c r="AB55" s="21">
        <f>IF(AQ55="1",BH55,0)</f>
        <v>0</v>
      </c>
      <c r="AC55" s="21">
        <f>IF(AQ55="1",BI55,0)</f>
        <v>0</v>
      </c>
      <c r="AD55" s="21">
        <f>IF(AQ55="7",BH55,0)</f>
        <v>0</v>
      </c>
      <c r="AE55" s="21">
        <f>IF(AQ55="7",BI55,0)</f>
        <v>0</v>
      </c>
      <c r="AF55" s="21">
        <f>IF(AQ55="2",BH55,0)</f>
        <v>0</v>
      </c>
      <c r="AG55" s="21">
        <f>IF(AQ55="2",BI55,0)</f>
        <v>0</v>
      </c>
      <c r="AH55" s="21">
        <f>IF(AQ55="0",BJ55,0)</f>
        <v>0</v>
      </c>
      <c r="AI55" s="10"/>
      <c r="AJ55" s="21">
        <f>IF(AN55=0,J55,0)</f>
        <v>0</v>
      </c>
      <c r="AK55" s="21">
        <f>IF(AN55=15,J55,0)</f>
        <v>0</v>
      </c>
      <c r="AL55" s="21">
        <f>IF(AN55=21,J55,0)</f>
        <v>0</v>
      </c>
      <c r="AN55" s="21">
        <v>21</v>
      </c>
      <c r="AO55" s="21">
        <f>G55*0.860765957446809</f>
        <v>0</v>
      </c>
      <c r="AP55" s="21">
        <f>G55*(1-0.860765957446809)</f>
        <v>0</v>
      </c>
      <c r="AQ55" s="23" t="s">
        <v>51</v>
      </c>
      <c r="AV55" s="21">
        <f>AW55+AX55</f>
        <v>0</v>
      </c>
      <c r="AW55" s="21">
        <f>F55*AO55</f>
        <v>0</v>
      </c>
      <c r="AX55" s="21">
        <f>F55*AP55</f>
        <v>0</v>
      </c>
      <c r="AY55" s="23" t="s">
        <v>136</v>
      </c>
      <c r="AZ55" s="23" t="s">
        <v>137</v>
      </c>
      <c r="BA55" s="10" t="s">
        <v>58</v>
      </c>
      <c r="BC55" s="21">
        <f>AW55+AX55</f>
        <v>0</v>
      </c>
      <c r="BD55" s="21">
        <f>G55/(100-BE55)*100</f>
        <v>0</v>
      </c>
      <c r="BE55" s="21">
        <v>0</v>
      </c>
      <c r="BF55" s="21">
        <f>L55</f>
        <v>19.228</v>
      </c>
      <c r="BH55" s="21">
        <f>F55*AO55</f>
        <v>0</v>
      </c>
      <c r="BI55" s="21">
        <f>F55*AP55</f>
        <v>0</v>
      </c>
      <c r="BJ55" s="21">
        <f>F55*G55</f>
        <v>0</v>
      </c>
      <c r="BK55" s="21" t="s">
        <v>59</v>
      </c>
      <c r="BL55" s="21">
        <v>56</v>
      </c>
    </row>
    <row r="56" spans="1:14" ht="15">
      <c r="A56" s="2"/>
      <c r="B56" s="27" t="s">
        <v>138</v>
      </c>
      <c r="C56" s="639" t="s">
        <v>143</v>
      </c>
      <c r="D56" s="640"/>
      <c r="E56" s="640"/>
      <c r="F56" s="640"/>
      <c r="G56" s="640"/>
      <c r="H56" s="640"/>
      <c r="I56" s="640"/>
      <c r="J56" s="640"/>
      <c r="K56" s="640"/>
      <c r="L56" s="640"/>
      <c r="M56" s="641"/>
      <c r="N56" s="2"/>
    </row>
    <row r="57" spans="1:14" ht="15">
      <c r="A57" s="2"/>
      <c r="C57" s="24" t="s">
        <v>144</v>
      </c>
      <c r="D57" s="24" t="s">
        <v>145</v>
      </c>
      <c r="F57" s="25">
        <v>38</v>
      </c>
      <c r="M57" s="26"/>
      <c r="N57" s="2"/>
    </row>
    <row r="58" spans="1:64" ht="15">
      <c r="A58" s="20" t="s">
        <v>102</v>
      </c>
      <c r="B58" s="3" t="s">
        <v>146</v>
      </c>
      <c r="C58" s="618" t="s">
        <v>147</v>
      </c>
      <c r="D58" s="608"/>
      <c r="E58" s="3" t="s">
        <v>54</v>
      </c>
      <c r="F58" s="21">
        <v>610</v>
      </c>
      <c r="G58" s="537"/>
      <c r="H58" s="21">
        <f>F58*AO58</f>
        <v>0</v>
      </c>
      <c r="I58" s="21">
        <f>F58*AP58</f>
        <v>0</v>
      </c>
      <c r="J58" s="21">
        <f>F58*G58</f>
        <v>0</v>
      </c>
      <c r="K58" s="21">
        <v>0.529</v>
      </c>
      <c r="L58" s="21">
        <f>F58*K58</f>
        <v>322.69</v>
      </c>
      <c r="M58" s="22" t="s">
        <v>55</v>
      </c>
      <c r="N58" s="2"/>
      <c r="Z58" s="21">
        <f>IF(AQ58="5",BJ58,0)</f>
        <v>0</v>
      </c>
      <c r="AB58" s="21">
        <f>IF(AQ58="1",BH58,0)</f>
        <v>0</v>
      </c>
      <c r="AC58" s="21">
        <f>IF(AQ58="1",BI58,0)</f>
        <v>0</v>
      </c>
      <c r="AD58" s="21">
        <f>IF(AQ58="7",BH58,0)</f>
        <v>0</v>
      </c>
      <c r="AE58" s="21">
        <f>IF(AQ58="7",BI58,0)</f>
        <v>0</v>
      </c>
      <c r="AF58" s="21">
        <f>IF(AQ58="2",BH58,0)</f>
        <v>0</v>
      </c>
      <c r="AG58" s="21">
        <f>IF(AQ58="2",BI58,0)</f>
        <v>0</v>
      </c>
      <c r="AH58" s="21">
        <f>IF(AQ58="0",BJ58,0)</f>
        <v>0</v>
      </c>
      <c r="AI58" s="10"/>
      <c r="AJ58" s="21">
        <f>IF(AN58=0,J58,0)</f>
        <v>0</v>
      </c>
      <c r="AK58" s="21">
        <f>IF(AN58=15,J58,0)</f>
        <v>0</v>
      </c>
      <c r="AL58" s="21">
        <f>IF(AN58=21,J58,0)</f>
        <v>0</v>
      </c>
      <c r="AN58" s="21">
        <v>21</v>
      </c>
      <c r="AO58" s="21">
        <f>G58*0.861955193482688</f>
        <v>0</v>
      </c>
      <c r="AP58" s="21">
        <f>G58*(1-0.861955193482688)</f>
        <v>0</v>
      </c>
      <c r="AQ58" s="23" t="s">
        <v>51</v>
      </c>
      <c r="AV58" s="21">
        <f>AW58+AX58</f>
        <v>0</v>
      </c>
      <c r="AW58" s="21">
        <f>F58*AO58</f>
        <v>0</v>
      </c>
      <c r="AX58" s="21">
        <f>F58*AP58</f>
        <v>0</v>
      </c>
      <c r="AY58" s="23" t="s">
        <v>136</v>
      </c>
      <c r="AZ58" s="23" t="s">
        <v>137</v>
      </c>
      <c r="BA58" s="10" t="s">
        <v>58</v>
      </c>
      <c r="BC58" s="21">
        <f>AW58+AX58</f>
        <v>0</v>
      </c>
      <c r="BD58" s="21">
        <f>G58/(100-BE58)*100</f>
        <v>0</v>
      </c>
      <c r="BE58" s="21">
        <v>0</v>
      </c>
      <c r="BF58" s="21">
        <f>L58</f>
        <v>322.69</v>
      </c>
      <c r="BH58" s="21">
        <f>F58*AO58</f>
        <v>0</v>
      </c>
      <c r="BI58" s="21">
        <f>F58*AP58</f>
        <v>0</v>
      </c>
      <c r="BJ58" s="21">
        <f>F58*G58</f>
        <v>0</v>
      </c>
      <c r="BK58" s="21" t="s">
        <v>59</v>
      </c>
      <c r="BL58" s="21">
        <v>56</v>
      </c>
    </row>
    <row r="59" spans="1:14" ht="15">
      <c r="A59" s="2"/>
      <c r="B59" s="27" t="s">
        <v>138</v>
      </c>
      <c r="C59" s="639" t="s">
        <v>143</v>
      </c>
      <c r="D59" s="640"/>
      <c r="E59" s="640"/>
      <c r="F59" s="640"/>
      <c r="G59" s="640"/>
      <c r="H59" s="640"/>
      <c r="I59" s="640"/>
      <c r="J59" s="640"/>
      <c r="K59" s="640"/>
      <c r="L59" s="640"/>
      <c r="M59" s="641"/>
      <c r="N59" s="2"/>
    </row>
    <row r="60" spans="1:14" ht="15">
      <c r="A60" s="2"/>
      <c r="C60" s="24" t="s">
        <v>148</v>
      </c>
      <c r="D60" s="24" t="s">
        <v>149</v>
      </c>
      <c r="F60" s="25">
        <v>610</v>
      </c>
      <c r="M60" s="26"/>
      <c r="N60" s="2"/>
    </row>
    <row r="61" spans="1:64" ht="15">
      <c r="A61" s="20" t="s">
        <v>114</v>
      </c>
      <c r="B61" s="3" t="s">
        <v>150</v>
      </c>
      <c r="C61" s="618" t="s">
        <v>151</v>
      </c>
      <c r="D61" s="608"/>
      <c r="E61" s="3" t="s">
        <v>54</v>
      </c>
      <c r="F61" s="21">
        <v>215</v>
      </c>
      <c r="G61" s="537"/>
      <c r="H61" s="21">
        <f>F61*AO61</f>
        <v>0</v>
      </c>
      <c r="I61" s="21">
        <f>F61*AP61</f>
        <v>0</v>
      </c>
      <c r="J61" s="21">
        <f>F61*G61</f>
        <v>0</v>
      </c>
      <c r="K61" s="21">
        <v>0.345</v>
      </c>
      <c r="L61" s="21">
        <f>F61*K61</f>
        <v>74.175</v>
      </c>
      <c r="M61" s="22" t="s">
        <v>55</v>
      </c>
      <c r="N61" s="2"/>
      <c r="Z61" s="21">
        <f>IF(AQ61="5",BJ61,0)</f>
        <v>0</v>
      </c>
      <c r="AB61" s="21">
        <f>IF(AQ61="1",BH61,0)</f>
        <v>0</v>
      </c>
      <c r="AC61" s="21">
        <f>IF(AQ61="1",BI61,0)</f>
        <v>0</v>
      </c>
      <c r="AD61" s="21">
        <f>IF(AQ61="7",BH61,0)</f>
        <v>0</v>
      </c>
      <c r="AE61" s="21">
        <f>IF(AQ61="7",BI61,0)</f>
        <v>0</v>
      </c>
      <c r="AF61" s="21">
        <f>IF(AQ61="2",BH61,0)</f>
        <v>0</v>
      </c>
      <c r="AG61" s="21">
        <f>IF(AQ61="2",BI61,0)</f>
        <v>0</v>
      </c>
      <c r="AH61" s="21">
        <f>IF(AQ61="0",BJ61,0)</f>
        <v>0</v>
      </c>
      <c r="AI61" s="10"/>
      <c r="AJ61" s="21">
        <f>IF(AN61=0,J61,0)</f>
        <v>0</v>
      </c>
      <c r="AK61" s="21">
        <f>IF(AN61=15,J61,0)</f>
        <v>0</v>
      </c>
      <c r="AL61" s="21">
        <f>IF(AN61=21,J61,0)</f>
        <v>0</v>
      </c>
      <c r="AN61" s="21">
        <v>21</v>
      </c>
      <c r="AO61" s="21">
        <f>G61*0.835878787878788</f>
        <v>0</v>
      </c>
      <c r="AP61" s="21">
        <f>G61*(1-0.835878787878788)</f>
        <v>0</v>
      </c>
      <c r="AQ61" s="23" t="s">
        <v>51</v>
      </c>
      <c r="AV61" s="21">
        <f>AW61+AX61</f>
        <v>0</v>
      </c>
      <c r="AW61" s="21">
        <f>F61*AO61</f>
        <v>0</v>
      </c>
      <c r="AX61" s="21">
        <f>F61*AP61</f>
        <v>0</v>
      </c>
      <c r="AY61" s="23" t="s">
        <v>136</v>
      </c>
      <c r="AZ61" s="23" t="s">
        <v>137</v>
      </c>
      <c r="BA61" s="10" t="s">
        <v>58</v>
      </c>
      <c r="BC61" s="21">
        <f>AW61+AX61</f>
        <v>0</v>
      </c>
      <c r="BD61" s="21">
        <f>G61/(100-BE61)*100</f>
        <v>0</v>
      </c>
      <c r="BE61" s="21">
        <v>0</v>
      </c>
      <c r="BF61" s="21">
        <f>L61</f>
        <v>74.175</v>
      </c>
      <c r="BH61" s="21">
        <f>F61*AO61</f>
        <v>0</v>
      </c>
      <c r="BI61" s="21">
        <f>F61*AP61</f>
        <v>0</v>
      </c>
      <c r="BJ61" s="21">
        <f>F61*G61</f>
        <v>0</v>
      </c>
      <c r="BK61" s="21" t="s">
        <v>59</v>
      </c>
      <c r="BL61" s="21">
        <v>56</v>
      </c>
    </row>
    <row r="62" spans="1:14" ht="15">
      <c r="A62" s="2"/>
      <c r="B62" s="27" t="s">
        <v>138</v>
      </c>
      <c r="C62" s="639" t="s">
        <v>143</v>
      </c>
      <c r="D62" s="640"/>
      <c r="E62" s="640"/>
      <c r="F62" s="640"/>
      <c r="G62" s="640"/>
      <c r="H62" s="640"/>
      <c r="I62" s="640"/>
      <c r="J62" s="640"/>
      <c r="K62" s="640"/>
      <c r="L62" s="640"/>
      <c r="M62" s="641"/>
      <c r="N62" s="2"/>
    </row>
    <row r="63" spans="1:14" ht="15">
      <c r="A63" s="2"/>
      <c r="C63" s="24" t="s">
        <v>152</v>
      </c>
      <c r="D63" s="24"/>
      <c r="F63" s="25">
        <v>215</v>
      </c>
      <c r="M63" s="26"/>
      <c r="N63" s="2"/>
    </row>
    <row r="64" spans="1:64" ht="15">
      <c r="A64" s="20" t="s">
        <v>121</v>
      </c>
      <c r="B64" s="3" t="s">
        <v>153</v>
      </c>
      <c r="C64" s="618" t="s">
        <v>154</v>
      </c>
      <c r="D64" s="608"/>
      <c r="E64" s="3" t="s">
        <v>54</v>
      </c>
      <c r="F64" s="21">
        <v>230</v>
      </c>
      <c r="G64" s="537"/>
      <c r="H64" s="21">
        <f>F64*AO64</f>
        <v>0</v>
      </c>
      <c r="I64" s="21">
        <f>F64*AP64</f>
        <v>0</v>
      </c>
      <c r="J64" s="21">
        <f>F64*G64</f>
        <v>0</v>
      </c>
      <c r="K64" s="21">
        <v>0.391</v>
      </c>
      <c r="L64" s="21">
        <f>F64*K64</f>
        <v>89.93</v>
      </c>
      <c r="M64" s="22" t="s">
        <v>55</v>
      </c>
      <c r="N64" s="2"/>
      <c r="Z64" s="21">
        <f>IF(AQ64="5",BJ64,0)</f>
        <v>0</v>
      </c>
      <c r="AB64" s="21">
        <f>IF(AQ64="1",BH64,0)</f>
        <v>0</v>
      </c>
      <c r="AC64" s="21">
        <f>IF(AQ64="1",BI64,0)</f>
        <v>0</v>
      </c>
      <c r="AD64" s="21">
        <f>IF(AQ64="7",BH64,0)</f>
        <v>0</v>
      </c>
      <c r="AE64" s="21">
        <f>IF(AQ64="7",BI64,0)</f>
        <v>0</v>
      </c>
      <c r="AF64" s="21">
        <f>IF(AQ64="2",BH64,0)</f>
        <v>0</v>
      </c>
      <c r="AG64" s="21">
        <f>IF(AQ64="2",BI64,0)</f>
        <v>0</v>
      </c>
      <c r="AH64" s="21">
        <f>IF(AQ64="0",BJ64,0)</f>
        <v>0</v>
      </c>
      <c r="AI64" s="10"/>
      <c r="AJ64" s="21">
        <f>IF(AN64=0,J64,0)</f>
        <v>0</v>
      </c>
      <c r="AK64" s="21">
        <f>IF(AN64=15,J64,0)</f>
        <v>0</v>
      </c>
      <c r="AL64" s="21">
        <f>IF(AN64=21,J64,0)</f>
        <v>0</v>
      </c>
      <c r="AN64" s="21">
        <v>21</v>
      </c>
      <c r="AO64" s="21">
        <f>G64*0.848138312286597</f>
        <v>0</v>
      </c>
      <c r="AP64" s="21">
        <f>G64*(1-0.848138312286597)</f>
        <v>0</v>
      </c>
      <c r="AQ64" s="23" t="s">
        <v>51</v>
      </c>
      <c r="AV64" s="21">
        <f>AW64+AX64</f>
        <v>0</v>
      </c>
      <c r="AW64" s="21">
        <f>F64*AO64</f>
        <v>0</v>
      </c>
      <c r="AX64" s="21">
        <f>F64*AP64</f>
        <v>0</v>
      </c>
      <c r="AY64" s="23" t="s">
        <v>136</v>
      </c>
      <c r="AZ64" s="23" t="s">
        <v>137</v>
      </c>
      <c r="BA64" s="10" t="s">
        <v>58</v>
      </c>
      <c r="BC64" s="21">
        <f>AW64+AX64</f>
        <v>0</v>
      </c>
      <c r="BD64" s="21">
        <f>G64/(100-BE64)*100</f>
        <v>0</v>
      </c>
      <c r="BE64" s="21">
        <v>0</v>
      </c>
      <c r="BF64" s="21">
        <f>L64</f>
        <v>89.93</v>
      </c>
      <c r="BH64" s="21">
        <f>F64*AO64</f>
        <v>0</v>
      </c>
      <c r="BI64" s="21">
        <f>F64*AP64</f>
        <v>0</v>
      </c>
      <c r="BJ64" s="21">
        <f>F64*G64</f>
        <v>0</v>
      </c>
      <c r="BK64" s="21" t="s">
        <v>59</v>
      </c>
      <c r="BL64" s="21">
        <v>56</v>
      </c>
    </row>
    <row r="65" spans="1:14" ht="15">
      <c r="A65" s="2"/>
      <c r="B65" s="27" t="s">
        <v>138</v>
      </c>
      <c r="C65" s="639" t="s">
        <v>143</v>
      </c>
      <c r="D65" s="640"/>
      <c r="E65" s="640"/>
      <c r="F65" s="640"/>
      <c r="G65" s="640"/>
      <c r="H65" s="640"/>
      <c r="I65" s="640"/>
      <c r="J65" s="640"/>
      <c r="K65" s="640"/>
      <c r="L65" s="640"/>
      <c r="M65" s="641"/>
      <c r="N65" s="2"/>
    </row>
    <row r="66" spans="1:14" ht="15">
      <c r="A66" s="2"/>
      <c r="C66" s="24" t="s">
        <v>155</v>
      </c>
      <c r="D66" s="24" t="s">
        <v>156</v>
      </c>
      <c r="F66" s="25">
        <v>230</v>
      </c>
      <c r="M66" s="26"/>
      <c r="N66" s="2"/>
    </row>
    <row r="67" spans="1:64" ht="15">
      <c r="A67" s="20" t="s">
        <v>157</v>
      </c>
      <c r="B67" s="3" t="s">
        <v>158</v>
      </c>
      <c r="C67" s="618" t="s">
        <v>159</v>
      </c>
      <c r="D67" s="608"/>
      <c r="E67" s="3" t="s">
        <v>54</v>
      </c>
      <c r="F67" s="21">
        <v>210</v>
      </c>
      <c r="G67" s="537"/>
      <c r="H67" s="21">
        <f>F67*AO67</f>
        <v>0</v>
      </c>
      <c r="I67" s="21">
        <f>F67*AP67</f>
        <v>0</v>
      </c>
      <c r="J67" s="21">
        <f>F67*G67</f>
        <v>0</v>
      </c>
      <c r="K67" s="21">
        <v>0.575</v>
      </c>
      <c r="L67" s="21">
        <f>F67*K67</f>
        <v>120.74999999999999</v>
      </c>
      <c r="M67" s="22" t="s">
        <v>55</v>
      </c>
      <c r="N67" s="2"/>
      <c r="Z67" s="21">
        <f>IF(AQ67="5",BJ67,0)</f>
        <v>0</v>
      </c>
      <c r="AB67" s="21">
        <f>IF(AQ67="1",BH67,0)</f>
        <v>0</v>
      </c>
      <c r="AC67" s="21">
        <f>IF(AQ67="1",BI67,0)</f>
        <v>0</v>
      </c>
      <c r="AD67" s="21">
        <f>IF(AQ67="7",BH67,0)</f>
        <v>0</v>
      </c>
      <c r="AE67" s="21">
        <f>IF(AQ67="7",BI67,0)</f>
        <v>0</v>
      </c>
      <c r="AF67" s="21">
        <f>IF(AQ67="2",BH67,0)</f>
        <v>0</v>
      </c>
      <c r="AG67" s="21">
        <f>IF(AQ67="2",BI67,0)</f>
        <v>0</v>
      </c>
      <c r="AH67" s="21">
        <f>IF(AQ67="0",BJ67,0)</f>
        <v>0</v>
      </c>
      <c r="AI67" s="10"/>
      <c r="AJ67" s="21">
        <f>IF(AN67=0,J67,0)</f>
        <v>0</v>
      </c>
      <c r="AK67" s="21">
        <f>IF(AN67=15,J67,0)</f>
        <v>0</v>
      </c>
      <c r="AL67" s="21">
        <f>IF(AN67=21,J67,0)</f>
        <v>0</v>
      </c>
      <c r="AN67" s="21">
        <v>21</v>
      </c>
      <c r="AO67" s="21">
        <f>G67*0.874372623574144</f>
        <v>0</v>
      </c>
      <c r="AP67" s="21">
        <f>G67*(1-0.874372623574144)</f>
        <v>0</v>
      </c>
      <c r="AQ67" s="23" t="s">
        <v>51</v>
      </c>
      <c r="AV67" s="21">
        <f>AW67+AX67</f>
        <v>0</v>
      </c>
      <c r="AW67" s="21">
        <f>F67*AO67</f>
        <v>0</v>
      </c>
      <c r="AX67" s="21">
        <f>F67*AP67</f>
        <v>0</v>
      </c>
      <c r="AY67" s="23" t="s">
        <v>136</v>
      </c>
      <c r="AZ67" s="23" t="s">
        <v>137</v>
      </c>
      <c r="BA67" s="10" t="s">
        <v>58</v>
      </c>
      <c r="BC67" s="21">
        <f>AW67+AX67</f>
        <v>0</v>
      </c>
      <c r="BD67" s="21">
        <f>G67/(100-BE67)*100</f>
        <v>0</v>
      </c>
      <c r="BE67" s="21">
        <v>0</v>
      </c>
      <c r="BF67" s="21">
        <f>L67</f>
        <v>120.74999999999999</v>
      </c>
      <c r="BH67" s="21">
        <f>F67*AO67</f>
        <v>0</v>
      </c>
      <c r="BI67" s="21">
        <f>F67*AP67</f>
        <v>0</v>
      </c>
      <c r="BJ67" s="21">
        <f>F67*G67</f>
        <v>0</v>
      </c>
      <c r="BK67" s="21" t="s">
        <v>59</v>
      </c>
      <c r="BL67" s="21">
        <v>56</v>
      </c>
    </row>
    <row r="68" spans="1:14" ht="15">
      <c r="A68" s="2"/>
      <c r="B68" s="27" t="s">
        <v>138</v>
      </c>
      <c r="C68" s="639" t="s">
        <v>143</v>
      </c>
      <c r="D68" s="640"/>
      <c r="E68" s="640"/>
      <c r="F68" s="640"/>
      <c r="G68" s="640"/>
      <c r="H68" s="640"/>
      <c r="I68" s="640"/>
      <c r="J68" s="640"/>
      <c r="K68" s="640"/>
      <c r="L68" s="640"/>
      <c r="M68" s="641"/>
      <c r="N68" s="2"/>
    </row>
    <row r="69" spans="1:14" ht="15">
      <c r="A69" s="2"/>
      <c r="C69" s="24" t="s">
        <v>160</v>
      </c>
      <c r="D69" s="24"/>
      <c r="F69" s="25">
        <v>210</v>
      </c>
      <c r="M69" s="26"/>
      <c r="N69" s="2"/>
    </row>
    <row r="70" spans="1:64" ht="15">
      <c r="A70" s="20" t="s">
        <v>161</v>
      </c>
      <c r="B70" s="3" t="s">
        <v>162</v>
      </c>
      <c r="C70" s="618" t="s">
        <v>163</v>
      </c>
      <c r="D70" s="608"/>
      <c r="E70" s="3" t="s">
        <v>54</v>
      </c>
      <c r="F70" s="21">
        <v>557</v>
      </c>
      <c r="G70" s="537"/>
      <c r="H70" s="21">
        <f>F70*AO70</f>
        <v>0</v>
      </c>
      <c r="I70" s="21">
        <f>F70*AP70</f>
        <v>0</v>
      </c>
      <c r="J70" s="21">
        <f>F70*G70</f>
        <v>0</v>
      </c>
      <c r="K70" s="21">
        <v>0.45977</v>
      </c>
      <c r="L70" s="21">
        <f>F70*K70</f>
        <v>256.09189000000003</v>
      </c>
      <c r="M70" s="22" t="s">
        <v>55</v>
      </c>
      <c r="N70" s="2"/>
      <c r="Z70" s="21">
        <f>IF(AQ70="5",BJ70,0)</f>
        <v>0</v>
      </c>
      <c r="AB70" s="21">
        <f>IF(AQ70="1",BH70,0)</f>
        <v>0</v>
      </c>
      <c r="AC70" s="21">
        <f>IF(AQ70="1",BI70,0)</f>
        <v>0</v>
      </c>
      <c r="AD70" s="21">
        <f>IF(AQ70="7",BH70,0)</f>
        <v>0</v>
      </c>
      <c r="AE70" s="21">
        <f>IF(AQ70="7",BI70,0)</f>
        <v>0</v>
      </c>
      <c r="AF70" s="21">
        <f>IF(AQ70="2",BH70,0)</f>
        <v>0</v>
      </c>
      <c r="AG70" s="21">
        <f>IF(AQ70="2",BI70,0)</f>
        <v>0</v>
      </c>
      <c r="AH70" s="21">
        <f>IF(AQ70="0",BJ70,0)</f>
        <v>0</v>
      </c>
      <c r="AI70" s="10"/>
      <c r="AJ70" s="21">
        <f>IF(AN70=0,J70,0)</f>
        <v>0</v>
      </c>
      <c r="AK70" s="21">
        <f>IF(AN70=15,J70,0)</f>
        <v>0</v>
      </c>
      <c r="AL70" s="21">
        <f>IF(AN70=21,J70,0)</f>
        <v>0</v>
      </c>
      <c r="AN70" s="21">
        <v>21</v>
      </c>
      <c r="AO70" s="21">
        <f>G70*0.911726618705036</f>
        <v>0</v>
      </c>
      <c r="AP70" s="21">
        <f>G70*(1-0.911726618705036)</f>
        <v>0</v>
      </c>
      <c r="AQ70" s="23" t="s">
        <v>51</v>
      </c>
      <c r="AV70" s="21">
        <f>AW70+AX70</f>
        <v>0</v>
      </c>
      <c r="AW70" s="21">
        <f>F70*AO70</f>
        <v>0</v>
      </c>
      <c r="AX70" s="21">
        <f>F70*AP70</f>
        <v>0</v>
      </c>
      <c r="AY70" s="23" t="s">
        <v>136</v>
      </c>
      <c r="AZ70" s="23" t="s">
        <v>137</v>
      </c>
      <c r="BA70" s="10" t="s">
        <v>58</v>
      </c>
      <c r="BC70" s="21">
        <f>AW70+AX70</f>
        <v>0</v>
      </c>
      <c r="BD70" s="21">
        <f>G70/(100-BE70)*100</f>
        <v>0</v>
      </c>
      <c r="BE70" s="21">
        <v>0</v>
      </c>
      <c r="BF70" s="21">
        <f>L70</f>
        <v>256.09189000000003</v>
      </c>
      <c r="BH70" s="21">
        <f>F70*AO70</f>
        <v>0</v>
      </c>
      <c r="BI70" s="21">
        <f>F70*AP70</f>
        <v>0</v>
      </c>
      <c r="BJ70" s="21">
        <f>F70*G70</f>
        <v>0</v>
      </c>
      <c r="BK70" s="21" t="s">
        <v>59</v>
      </c>
      <c r="BL70" s="21">
        <v>56</v>
      </c>
    </row>
    <row r="71" spans="1:14" ht="15">
      <c r="A71" s="2"/>
      <c r="C71" s="24" t="s">
        <v>164</v>
      </c>
      <c r="D71" s="24"/>
      <c r="F71" s="25">
        <v>557</v>
      </c>
      <c r="M71" s="26"/>
      <c r="N71" s="2"/>
    </row>
    <row r="72" spans="1:64" ht="15">
      <c r="A72" s="20" t="s">
        <v>165</v>
      </c>
      <c r="B72" s="3" t="s">
        <v>166</v>
      </c>
      <c r="C72" s="618" t="s">
        <v>167</v>
      </c>
      <c r="D72" s="608"/>
      <c r="E72" s="3" t="s">
        <v>54</v>
      </c>
      <c r="F72" s="21">
        <v>38</v>
      </c>
      <c r="G72" s="537"/>
      <c r="H72" s="21">
        <f>F72*AO72</f>
        <v>0</v>
      </c>
      <c r="I72" s="21">
        <f>F72*AP72</f>
        <v>0</v>
      </c>
      <c r="J72" s="21">
        <f>F72*G72</f>
        <v>0</v>
      </c>
      <c r="K72" s="21">
        <v>0.56194</v>
      </c>
      <c r="L72" s="21">
        <f>F72*K72</f>
        <v>21.35372</v>
      </c>
      <c r="M72" s="22" t="s">
        <v>55</v>
      </c>
      <c r="N72" s="2"/>
      <c r="Z72" s="21">
        <f>IF(AQ72="5",BJ72,0)</f>
        <v>0</v>
      </c>
      <c r="AB72" s="21">
        <f>IF(AQ72="1",BH72,0)</f>
        <v>0</v>
      </c>
      <c r="AC72" s="21">
        <f>IF(AQ72="1",BI72,0)</f>
        <v>0</v>
      </c>
      <c r="AD72" s="21">
        <f>IF(AQ72="7",BH72,0)</f>
        <v>0</v>
      </c>
      <c r="AE72" s="21">
        <f>IF(AQ72="7",BI72,0)</f>
        <v>0</v>
      </c>
      <c r="AF72" s="21">
        <f>IF(AQ72="2",BH72,0)</f>
        <v>0</v>
      </c>
      <c r="AG72" s="21">
        <f>IF(AQ72="2",BI72,0)</f>
        <v>0</v>
      </c>
      <c r="AH72" s="21">
        <f>IF(AQ72="0",BJ72,0)</f>
        <v>0</v>
      </c>
      <c r="AI72" s="10"/>
      <c r="AJ72" s="21">
        <f>IF(AN72=0,J72,0)</f>
        <v>0</v>
      </c>
      <c r="AK72" s="21">
        <f>IF(AN72=15,J72,0)</f>
        <v>0</v>
      </c>
      <c r="AL72" s="21">
        <f>IF(AN72=21,J72,0)</f>
        <v>0</v>
      </c>
      <c r="AN72" s="21">
        <v>21</v>
      </c>
      <c r="AO72" s="21">
        <f>G72*0.920157145975119</f>
        <v>0</v>
      </c>
      <c r="AP72" s="21">
        <f>G72*(1-0.920157145975119)</f>
        <v>0</v>
      </c>
      <c r="AQ72" s="23" t="s">
        <v>51</v>
      </c>
      <c r="AV72" s="21">
        <f>AW72+AX72</f>
        <v>0</v>
      </c>
      <c r="AW72" s="21">
        <f>F72*AO72</f>
        <v>0</v>
      </c>
      <c r="AX72" s="21">
        <f>F72*AP72</f>
        <v>0</v>
      </c>
      <c r="AY72" s="23" t="s">
        <v>136</v>
      </c>
      <c r="AZ72" s="23" t="s">
        <v>137</v>
      </c>
      <c r="BA72" s="10" t="s">
        <v>58</v>
      </c>
      <c r="BC72" s="21">
        <f>AW72+AX72</f>
        <v>0</v>
      </c>
      <c r="BD72" s="21">
        <f>G72/(100-BE72)*100</f>
        <v>0</v>
      </c>
      <c r="BE72" s="21">
        <v>0</v>
      </c>
      <c r="BF72" s="21">
        <f>L72</f>
        <v>21.35372</v>
      </c>
      <c r="BH72" s="21">
        <f>F72*AO72</f>
        <v>0</v>
      </c>
      <c r="BI72" s="21">
        <f>F72*AP72</f>
        <v>0</v>
      </c>
      <c r="BJ72" s="21">
        <f>F72*G72</f>
        <v>0</v>
      </c>
      <c r="BK72" s="21" t="s">
        <v>59</v>
      </c>
      <c r="BL72" s="21">
        <v>56</v>
      </c>
    </row>
    <row r="73" spans="1:14" ht="15">
      <c r="A73" s="2"/>
      <c r="C73" s="24" t="s">
        <v>144</v>
      </c>
      <c r="D73" s="24" t="s">
        <v>168</v>
      </c>
      <c r="F73" s="25">
        <v>38</v>
      </c>
      <c r="M73" s="26"/>
      <c r="N73" s="2"/>
    </row>
    <row r="74" spans="1:64" ht="15">
      <c r="A74" s="20" t="s">
        <v>70</v>
      </c>
      <c r="B74" s="3" t="s">
        <v>169</v>
      </c>
      <c r="C74" s="618" t="s">
        <v>170</v>
      </c>
      <c r="D74" s="608"/>
      <c r="E74" s="3" t="s">
        <v>54</v>
      </c>
      <c r="F74" s="21">
        <v>214.2</v>
      </c>
      <c r="G74" s="537"/>
      <c r="H74" s="21">
        <f>F74*AO74</f>
        <v>0</v>
      </c>
      <c r="I74" s="21">
        <f>F74*AP74</f>
        <v>0</v>
      </c>
      <c r="J74" s="21">
        <f>F74*G74</f>
        <v>0</v>
      </c>
      <c r="K74" s="21">
        <v>0.38314</v>
      </c>
      <c r="L74" s="21">
        <f>F74*K74</f>
        <v>82.06858799999999</v>
      </c>
      <c r="M74" s="22" t="s">
        <v>55</v>
      </c>
      <c r="N74" s="2"/>
      <c r="Z74" s="21">
        <f>IF(AQ74="5",BJ74,0)</f>
        <v>0</v>
      </c>
      <c r="AB74" s="21">
        <f>IF(AQ74="1",BH74,0)</f>
        <v>0</v>
      </c>
      <c r="AC74" s="21">
        <f>IF(AQ74="1",BI74,0)</f>
        <v>0</v>
      </c>
      <c r="AD74" s="21">
        <f>IF(AQ74="7",BH74,0)</f>
        <v>0</v>
      </c>
      <c r="AE74" s="21">
        <f>IF(AQ74="7",BI74,0)</f>
        <v>0</v>
      </c>
      <c r="AF74" s="21">
        <f>IF(AQ74="2",BH74,0)</f>
        <v>0</v>
      </c>
      <c r="AG74" s="21">
        <f>IF(AQ74="2",BI74,0)</f>
        <v>0</v>
      </c>
      <c r="AH74" s="21">
        <f>IF(AQ74="0",BJ74,0)</f>
        <v>0</v>
      </c>
      <c r="AI74" s="10"/>
      <c r="AJ74" s="21">
        <f>IF(AN74=0,J74,0)</f>
        <v>0</v>
      </c>
      <c r="AK74" s="21">
        <f>IF(AN74=15,J74,0)</f>
        <v>0</v>
      </c>
      <c r="AL74" s="21">
        <f>IF(AN74=21,J74,0)</f>
        <v>0</v>
      </c>
      <c r="AN74" s="21">
        <v>21</v>
      </c>
      <c r="AO74" s="21">
        <f>G74*0.898696883852691</f>
        <v>0</v>
      </c>
      <c r="AP74" s="21">
        <f>G74*(1-0.898696883852691)</f>
        <v>0</v>
      </c>
      <c r="AQ74" s="23" t="s">
        <v>51</v>
      </c>
      <c r="AV74" s="21">
        <f>AW74+AX74</f>
        <v>0</v>
      </c>
      <c r="AW74" s="21">
        <f>F74*AO74</f>
        <v>0</v>
      </c>
      <c r="AX74" s="21">
        <f>F74*AP74</f>
        <v>0</v>
      </c>
      <c r="AY74" s="23" t="s">
        <v>136</v>
      </c>
      <c r="AZ74" s="23" t="s">
        <v>137</v>
      </c>
      <c r="BA74" s="10" t="s">
        <v>58</v>
      </c>
      <c r="BC74" s="21">
        <f>AW74+AX74</f>
        <v>0</v>
      </c>
      <c r="BD74" s="21">
        <f>G74/(100-BE74)*100</f>
        <v>0</v>
      </c>
      <c r="BE74" s="21">
        <v>0</v>
      </c>
      <c r="BF74" s="21">
        <f>L74</f>
        <v>82.06858799999999</v>
      </c>
      <c r="BH74" s="21">
        <f>F74*AO74</f>
        <v>0</v>
      </c>
      <c r="BI74" s="21">
        <f>F74*AP74</f>
        <v>0</v>
      </c>
      <c r="BJ74" s="21">
        <f>F74*G74</f>
        <v>0</v>
      </c>
      <c r="BK74" s="21" t="s">
        <v>59</v>
      </c>
      <c r="BL74" s="21">
        <v>56</v>
      </c>
    </row>
    <row r="75" spans="1:14" ht="15">
      <c r="A75" s="2"/>
      <c r="C75" s="24" t="s">
        <v>171</v>
      </c>
      <c r="D75" s="24"/>
      <c r="F75" s="25">
        <v>214.2</v>
      </c>
      <c r="M75" s="26"/>
      <c r="N75" s="2"/>
    </row>
    <row r="76" spans="1:64" ht="15">
      <c r="A76" s="20" t="s">
        <v>172</v>
      </c>
      <c r="B76" s="3" t="s">
        <v>173</v>
      </c>
      <c r="C76" s="618" t="s">
        <v>174</v>
      </c>
      <c r="D76" s="608"/>
      <c r="E76" s="3" t="s">
        <v>54</v>
      </c>
      <c r="F76" s="21">
        <v>557</v>
      </c>
      <c r="G76" s="537"/>
      <c r="H76" s="21">
        <f>F76*AO76</f>
        <v>0</v>
      </c>
      <c r="I76" s="21">
        <f>F76*AP76</f>
        <v>0</v>
      </c>
      <c r="J76" s="21">
        <f>F76*G76</f>
        <v>0</v>
      </c>
      <c r="K76" s="21">
        <v>0.18463</v>
      </c>
      <c r="L76" s="21">
        <f>F76*K76</f>
        <v>102.83891</v>
      </c>
      <c r="M76" s="22" t="s">
        <v>55</v>
      </c>
      <c r="N76" s="2"/>
      <c r="Z76" s="21">
        <f>IF(AQ76="5",BJ76,0)</f>
        <v>0</v>
      </c>
      <c r="AB76" s="21">
        <f>IF(AQ76="1",BH76,0)</f>
        <v>0</v>
      </c>
      <c r="AC76" s="21">
        <f>IF(AQ76="1",BI76,0)</f>
        <v>0</v>
      </c>
      <c r="AD76" s="21">
        <f>IF(AQ76="7",BH76,0)</f>
        <v>0</v>
      </c>
      <c r="AE76" s="21">
        <f>IF(AQ76="7",BI76,0)</f>
        <v>0</v>
      </c>
      <c r="AF76" s="21">
        <f>IF(AQ76="2",BH76,0)</f>
        <v>0</v>
      </c>
      <c r="AG76" s="21">
        <f>IF(AQ76="2",BI76,0)</f>
        <v>0</v>
      </c>
      <c r="AH76" s="21">
        <f>IF(AQ76="0",BJ76,0)</f>
        <v>0</v>
      </c>
      <c r="AI76" s="10"/>
      <c r="AJ76" s="21">
        <f>IF(AN76=0,J76,0)</f>
        <v>0</v>
      </c>
      <c r="AK76" s="21">
        <f>IF(AN76=15,J76,0)</f>
        <v>0</v>
      </c>
      <c r="AL76" s="21">
        <f>IF(AN76=21,J76,0)</f>
        <v>0</v>
      </c>
      <c r="AN76" s="21">
        <v>21</v>
      </c>
      <c r="AO76" s="21">
        <f>G76*0.872136540249339</f>
        <v>0</v>
      </c>
      <c r="AP76" s="21">
        <f>G76*(1-0.872136540249339)</f>
        <v>0</v>
      </c>
      <c r="AQ76" s="23" t="s">
        <v>51</v>
      </c>
      <c r="AV76" s="21">
        <f>AW76+AX76</f>
        <v>0</v>
      </c>
      <c r="AW76" s="21">
        <f>F76*AO76</f>
        <v>0</v>
      </c>
      <c r="AX76" s="21">
        <f>F76*AP76</f>
        <v>0</v>
      </c>
      <c r="AY76" s="23" t="s">
        <v>136</v>
      </c>
      <c r="AZ76" s="23" t="s">
        <v>137</v>
      </c>
      <c r="BA76" s="10" t="s">
        <v>58</v>
      </c>
      <c r="BC76" s="21">
        <f>AW76+AX76</f>
        <v>0</v>
      </c>
      <c r="BD76" s="21">
        <f>G76/(100-BE76)*100</f>
        <v>0</v>
      </c>
      <c r="BE76" s="21">
        <v>0</v>
      </c>
      <c r="BF76" s="21">
        <f>L76</f>
        <v>102.83891</v>
      </c>
      <c r="BH76" s="21">
        <f>F76*AO76</f>
        <v>0</v>
      </c>
      <c r="BI76" s="21">
        <f>F76*AP76</f>
        <v>0</v>
      </c>
      <c r="BJ76" s="21">
        <f>F76*G76</f>
        <v>0</v>
      </c>
      <c r="BK76" s="21" t="s">
        <v>59</v>
      </c>
      <c r="BL76" s="21">
        <v>56</v>
      </c>
    </row>
    <row r="77" spans="1:14" ht="15">
      <c r="A77" s="2"/>
      <c r="C77" s="24" t="s">
        <v>164</v>
      </c>
      <c r="D77" s="24"/>
      <c r="F77" s="25">
        <v>557</v>
      </c>
      <c r="M77" s="26"/>
      <c r="N77" s="2"/>
    </row>
    <row r="78" spans="1:47" ht="15">
      <c r="A78" s="41"/>
      <c r="B78" s="42" t="s">
        <v>175</v>
      </c>
      <c r="C78" s="637" t="s">
        <v>176</v>
      </c>
      <c r="D78" s="638"/>
      <c r="E78" s="43" t="s">
        <v>4</v>
      </c>
      <c r="F78" s="43" t="s">
        <v>4</v>
      </c>
      <c r="G78" s="43" t="s">
        <v>4</v>
      </c>
      <c r="H78" s="44">
        <f>SUM(H79:H81)</f>
        <v>0</v>
      </c>
      <c r="I78" s="44">
        <f>SUM(I79:I81)</f>
        <v>0</v>
      </c>
      <c r="J78" s="44">
        <f>SUM(J79:J81)</f>
        <v>0</v>
      </c>
      <c r="K78" s="45"/>
      <c r="L78" s="44">
        <f>SUM(L79:L81)</f>
        <v>72.77762</v>
      </c>
      <c r="M78" s="46"/>
      <c r="N78" s="2"/>
      <c r="AI78" s="10"/>
      <c r="AS78" s="19">
        <f>SUM(AJ79:AJ81)</f>
        <v>0</v>
      </c>
      <c r="AT78" s="19">
        <f>SUM(AK79:AK81)</f>
        <v>0</v>
      </c>
      <c r="AU78" s="19">
        <f>SUM(AL79:AL81)</f>
        <v>0</v>
      </c>
    </row>
    <row r="79" spans="1:64" ht="15">
      <c r="A79" s="20" t="s">
        <v>177</v>
      </c>
      <c r="B79" s="3" t="s">
        <v>178</v>
      </c>
      <c r="C79" s="618" t="s">
        <v>179</v>
      </c>
      <c r="D79" s="608"/>
      <c r="E79" s="3" t="s">
        <v>54</v>
      </c>
      <c r="F79" s="21">
        <v>557</v>
      </c>
      <c r="G79" s="537"/>
      <c r="H79" s="21">
        <f>F79*AO79</f>
        <v>0</v>
      </c>
      <c r="I79" s="21">
        <f>F79*AP79</f>
        <v>0</v>
      </c>
      <c r="J79" s="21">
        <f>F79*G79</f>
        <v>0</v>
      </c>
      <c r="K79" s="21">
        <v>0.12966</v>
      </c>
      <c r="L79" s="21">
        <f>F79*K79</f>
        <v>72.22062</v>
      </c>
      <c r="M79" s="22" t="s">
        <v>55</v>
      </c>
      <c r="N79" s="2"/>
      <c r="Z79" s="21">
        <f>IF(AQ79="5",BJ79,0)</f>
        <v>0</v>
      </c>
      <c r="AB79" s="21">
        <f>IF(AQ79="1",BH79,0)</f>
        <v>0</v>
      </c>
      <c r="AC79" s="21">
        <f>IF(AQ79="1",BI79,0)</f>
        <v>0</v>
      </c>
      <c r="AD79" s="21">
        <f>IF(AQ79="7",BH79,0)</f>
        <v>0</v>
      </c>
      <c r="AE79" s="21">
        <f>IF(AQ79="7",BI79,0)</f>
        <v>0</v>
      </c>
      <c r="AF79" s="21">
        <f>IF(AQ79="2",BH79,0)</f>
        <v>0</v>
      </c>
      <c r="AG79" s="21">
        <f>IF(AQ79="2",BI79,0)</f>
        <v>0</v>
      </c>
      <c r="AH79" s="21">
        <f>IF(AQ79="0",BJ79,0)</f>
        <v>0</v>
      </c>
      <c r="AI79" s="10"/>
      <c r="AJ79" s="21">
        <f>IF(AN79=0,J79,0)</f>
        <v>0</v>
      </c>
      <c r="AK79" s="21">
        <f>IF(AN79=15,J79,0)</f>
        <v>0</v>
      </c>
      <c r="AL79" s="21">
        <f>IF(AN79=21,J79,0)</f>
        <v>0</v>
      </c>
      <c r="AN79" s="21">
        <v>21</v>
      </c>
      <c r="AO79" s="21">
        <f>G79*0.903884156729131</f>
        <v>0</v>
      </c>
      <c r="AP79" s="21">
        <f>G79*(1-0.903884156729131)</f>
        <v>0</v>
      </c>
      <c r="AQ79" s="23" t="s">
        <v>51</v>
      </c>
      <c r="AV79" s="21">
        <f>AW79+AX79</f>
        <v>0</v>
      </c>
      <c r="AW79" s="21">
        <f>F79*AO79</f>
        <v>0</v>
      </c>
      <c r="AX79" s="21">
        <f>F79*AP79</f>
        <v>0</v>
      </c>
      <c r="AY79" s="23" t="s">
        <v>180</v>
      </c>
      <c r="AZ79" s="23" t="s">
        <v>137</v>
      </c>
      <c r="BA79" s="10" t="s">
        <v>58</v>
      </c>
      <c r="BC79" s="21">
        <f>AW79+AX79</f>
        <v>0</v>
      </c>
      <c r="BD79" s="21">
        <f>G79/(100-BE79)*100</f>
        <v>0</v>
      </c>
      <c r="BE79" s="21">
        <v>0</v>
      </c>
      <c r="BF79" s="21">
        <f>L79</f>
        <v>72.22062</v>
      </c>
      <c r="BH79" s="21">
        <f>F79*AO79</f>
        <v>0</v>
      </c>
      <c r="BI79" s="21">
        <f>F79*AP79</f>
        <v>0</v>
      </c>
      <c r="BJ79" s="21">
        <f>F79*G79</f>
        <v>0</v>
      </c>
      <c r="BK79" s="21" t="s">
        <v>59</v>
      </c>
      <c r="BL79" s="21">
        <v>57</v>
      </c>
    </row>
    <row r="80" spans="1:14" ht="15">
      <c r="A80" s="2"/>
      <c r="C80" s="24" t="s">
        <v>164</v>
      </c>
      <c r="D80" s="24"/>
      <c r="F80" s="25">
        <v>557</v>
      </c>
      <c r="M80" s="26"/>
      <c r="N80" s="2"/>
    </row>
    <row r="81" spans="1:64" ht="15">
      <c r="A81" s="20" t="s">
        <v>181</v>
      </c>
      <c r="B81" s="3" t="s">
        <v>182</v>
      </c>
      <c r="C81" s="618" t="s">
        <v>183</v>
      </c>
      <c r="D81" s="608"/>
      <c r="E81" s="3" t="s">
        <v>54</v>
      </c>
      <c r="F81" s="21">
        <v>1114</v>
      </c>
      <c r="G81" s="537"/>
      <c r="H81" s="21">
        <f>F81*AO81</f>
        <v>0</v>
      </c>
      <c r="I81" s="21">
        <f>F81*AP81</f>
        <v>0</v>
      </c>
      <c r="J81" s="21">
        <f>F81*G81</f>
        <v>0</v>
      </c>
      <c r="K81" s="21">
        <v>0.0005</v>
      </c>
      <c r="L81" s="21">
        <f>F81*K81</f>
        <v>0.557</v>
      </c>
      <c r="M81" s="22" t="s">
        <v>55</v>
      </c>
      <c r="N81" s="2"/>
      <c r="Z81" s="21">
        <f>IF(AQ81="5",BJ81,0)</f>
        <v>0</v>
      </c>
      <c r="AB81" s="21">
        <f>IF(AQ81="1",BH81,0)</f>
        <v>0</v>
      </c>
      <c r="AC81" s="21">
        <f>IF(AQ81="1",BI81,0)</f>
        <v>0</v>
      </c>
      <c r="AD81" s="21">
        <f>IF(AQ81="7",BH81,0)</f>
        <v>0</v>
      </c>
      <c r="AE81" s="21">
        <f>IF(AQ81="7",BI81,0)</f>
        <v>0</v>
      </c>
      <c r="AF81" s="21">
        <f>IF(AQ81="2",BH81,0)</f>
        <v>0</v>
      </c>
      <c r="AG81" s="21">
        <f>IF(AQ81="2",BI81,0)</f>
        <v>0</v>
      </c>
      <c r="AH81" s="21">
        <f>IF(AQ81="0",BJ81,0)</f>
        <v>0</v>
      </c>
      <c r="AI81" s="10"/>
      <c r="AJ81" s="21">
        <f>IF(AN81=0,J81,0)</f>
        <v>0</v>
      </c>
      <c r="AK81" s="21">
        <f>IF(AN81=15,J81,0)</f>
        <v>0</v>
      </c>
      <c r="AL81" s="21">
        <f>IF(AN81=21,J81,0)</f>
        <v>0</v>
      </c>
      <c r="AN81" s="21">
        <v>21</v>
      </c>
      <c r="AO81" s="21">
        <f>G81*0.855054811205846</f>
        <v>0</v>
      </c>
      <c r="AP81" s="21">
        <f>G81*(1-0.855054811205846)</f>
        <v>0</v>
      </c>
      <c r="AQ81" s="23" t="s">
        <v>51</v>
      </c>
      <c r="AV81" s="21">
        <f>AW81+AX81</f>
        <v>0</v>
      </c>
      <c r="AW81" s="21">
        <f>F81*AO81</f>
        <v>0</v>
      </c>
      <c r="AX81" s="21">
        <f>F81*AP81</f>
        <v>0</v>
      </c>
      <c r="AY81" s="23" t="s">
        <v>180</v>
      </c>
      <c r="AZ81" s="23" t="s">
        <v>137</v>
      </c>
      <c r="BA81" s="10" t="s">
        <v>58</v>
      </c>
      <c r="BC81" s="21">
        <f>AW81+AX81</f>
        <v>0</v>
      </c>
      <c r="BD81" s="21">
        <f>G81/(100-BE81)*100</f>
        <v>0</v>
      </c>
      <c r="BE81" s="21">
        <v>0</v>
      </c>
      <c r="BF81" s="21">
        <f>L81</f>
        <v>0.557</v>
      </c>
      <c r="BH81" s="21">
        <f>F81*AO81</f>
        <v>0</v>
      </c>
      <c r="BI81" s="21">
        <f>F81*AP81</f>
        <v>0</v>
      </c>
      <c r="BJ81" s="21">
        <f>F81*G81</f>
        <v>0</v>
      </c>
      <c r="BK81" s="21" t="s">
        <v>59</v>
      </c>
      <c r="BL81" s="21">
        <v>57</v>
      </c>
    </row>
    <row r="82" spans="1:14" ht="15">
      <c r="A82" s="2"/>
      <c r="C82" s="24" t="s">
        <v>184</v>
      </c>
      <c r="D82" s="24"/>
      <c r="F82" s="25">
        <v>1114</v>
      </c>
      <c r="M82" s="26"/>
      <c r="N82" s="2"/>
    </row>
    <row r="83" spans="1:47" ht="15">
      <c r="A83" s="41"/>
      <c r="B83" s="42" t="s">
        <v>185</v>
      </c>
      <c r="C83" s="637" t="s">
        <v>186</v>
      </c>
      <c r="D83" s="638"/>
      <c r="E83" s="43" t="s">
        <v>4</v>
      </c>
      <c r="F83" s="43" t="s">
        <v>4</v>
      </c>
      <c r="G83" s="43" t="s">
        <v>4</v>
      </c>
      <c r="H83" s="44">
        <f>SUM(H84:H144)</f>
        <v>0</v>
      </c>
      <c r="I83" s="44">
        <f>SUM(I84:I144)</f>
        <v>0</v>
      </c>
      <c r="J83" s="44">
        <f>SUM(J84:J144)</f>
        <v>0</v>
      </c>
      <c r="K83" s="45"/>
      <c r="L83" s="44">
        <f>SUM(L84:L144)</f>
        <v>102.87541</v>
      </c>
      <c r="M83" s="46"/>
      <c r="N83" s="2"/>
      <c r="AI83" s="10"/>
      <c r="AS83" s="19">
        <f>SUM(AJ84:AJ144)</f>
        <v>0</v>
      </c>
      <c r="AT83" s="19">
        <f>SUM(AK84:AK144)</f>
        <v>0</v>
      </c>
      <c r="AU83" s="19">
        <f>SUM(AL84:AL144)</f>
        <v>0</v>
      </c>
    </row>
    <row r="84" spans="1:64" ht="15">
      <c r="A84" s="20" t="s">
        <v>187</v>
      </c>
      <c r="B84" s="3" t="s">
        <v>188</v>
      </c>
      <c r="C84" s="618" t="s">
        <v>189</v>
      </c>
      <c r="D84" s="608"/>
      <c r="E84" s="3" t="s">
        <v>54</v>
      </c>
      <c r="F84" s="21">
        <v>256.2</v>
      </c>
      <c r="G84" s="537"/>
      <c r="H84" s="21">
        <f>F84*AO84</f>
        <v>0</v>
      </c>
      <c r="I84" s="21">
        <f>F84*AP84</f>
        <v>0</v>
      </c>
      <c r="J84" s="21">
        <f>F84*G84</f>
        <v>0</v>
      </c>
      <c r="K84" s="21">
        <v>0.0739</v>
      </c>
      <c r="L84" s="21">
        <f>F84*K84</f>
        <v>18.933179999999997</v>
      </c>
      <c r="M84" s="22" t="s">
        <v>55</v>
      </c>
      <c r="N84" s="2"/>
      <c r="Z84" s="21">
        <f>IF(AQ84="5",BJ84,0)</f>
        <v>0</v>
      </c>
      <c r="AB84" s="21">
        <f>IF(AQ84="1",BH84,0)</f>
        <v>0</v>
      </c>
      <c r="AC84" s="21">
        <f>IF(AQ84="1",BI84,0)</f>
        <v>0</v>
      </c>
      <c r="AD84" s="21">
        <f>IF(AQ84="7",BH84,0)</f>
        <v>0</v>
      </c>
      <c r="AE84" s="21">
        <f>IF(AQ84="7",BI84,0)</f>
        <v>0</v>
      </c>
      <c r="AF84" s="21">
        <f>IF(AQ84="2",BH84,0)</f>
        <v>0</v>
      </c>
      <c r="AG84" s="21">
        <f>IF(AQ84="2",BI84,0)</f>
        <v>0</v>
      </c>
      <c r="AH84" s="21">
        <f>IF(AQ84="0",BJ84,0)</f>
        <v>0</v>
      </c>
      <c r="AI84" s="10"/>
      <c r="AJ84" s="21">
        <f>IF(AN84=0,J84,0)</f>
        <v>0</v>
      </c>
      <c r="AK84" s="21">
        <f>IF(AN84=15,J84,0)</f>
        <v>0</v>
      </c>
      <c r="AL84" s="21">
        <f>IF(AN84=21,J84,0)</f>
        <v>0</v>
      </c>
      <c r="AN84" s="21">
        <v>21</v>
      </c>
      <c r="AO84" s="21">
        <f>G84*0.144991452991453</f>
        <v>0</v>
      </c>
      <c r="AP84" s="21">
        <f>G84*(1-0.144991452991453)</f>
        <v>0</v>
      </c>
      <c r="AQ84" s="23" t="s">
        <v>51</v>
      </c>
      <c r="AV84" s="21">
        <f>AW84+AX84</f>
        <v>0</v>
      </c>
      <c r="AW84" s="21">
        <f>F84*AO84</f>
        <v>0</v>
      </c>
      <c r="AX84" s="21">
        <f>F84*AP84</f>
        <v>0</v>
      </c>
      <c r="AY84" s="23" t="s">
        <v>190</v>
      </c>
      <c r="AZ84" s="23" t="s">
        <v>137</v>
      </c>
      <c r="BA84" s="10" t="s">
        <v>58</v>
      </c>
      <c r="BC84" s="21">
        <f>AW84+AX84</f>
        <v>0</v>
      </c>
      <c r="BD84" s="21">
        <f>G84/(100-BE84)*100</f>
        <v>0</v>
      </c>
      <c r="BE84" s="21">
        <v>0</v>
      </c>
      <c r="BF84" s="21">
        <f>L84</f>
        <v>18.933179999999997</v>
      </c>
      <c r="BH84" s="21">
        <f>F84*AO84</f>
        <v>0</v>
      </c>
      <c r="BI84" s="21">
        <f>F84*AP84</f>
        <v>0</v>
      </c>
      <c r="BJ84" s="21">
        <f>F84*G84</f>
        <v>0</v>
      </c>
      <c r="BK84" s="21" t="s">
        <v>59</v>
      </c>
      <c r="BL84" s="21">
        <v>59</v>
      </c>
    </row>
    <row r="85" spans="1:14" ht="15">
      <c r="A85" s="2"/>
      <c r="C85" s="24" t="s">
        <v>191</v>
      </c>
      <c r="D85" s="24" t="s">
        <v>192</v>
      </c>
      <c r="F85" s="25">
        <v>7.2</v>
      </c>
      <c r="M85" s="26"/>
      <c r="N85" s="2"/>
    </row>
    <row r="86" spans="1:14" ht="15">
      <c r="A86" s="2"/>
      <c r="C86" s="24" t="s">
        <v>71</v>
      </c>
      <c r="D86" s="24" t="s">
        <v>193</v>
      </c>
      <c r="F86" s="25">
        <v>4</v>
      </c>
      <c r="M86" s="26"/>
      <c r="N86" s="2"/>
    </row>
    <row r="87" spans="1:14" ht="15">
      <c r="A87" s="2"/>
      <c r="C87" s="24" t="s">
        <v>194</v>
      </c>
      <c r="D87" s="24" t="s">
        <v>195</v>
      </c>
      <c r="F87" s="25">
        <v>207</v>
      </c>
      <c r="M87" s="26"/>
      <c r="N87" s="2"/>
    </row>
    <row r="88" spans="1:14" ht="15">
      <c r="A88" s="2"/>
      <c r="C88" s="24" t="s">
        <v>144</v>
      </c>
      <c r="D88" s="24" t="s">
        <v>196</v>
      </c>
      <c r="F88" s="25">
        <v>38</v>
      </c>
      <c r="M88" s="26"/>
      <c r="N88" s="2"/>
    </row>
    <row r="89" spans="1:14" ht="25.65" customHeight="1">
      <c r="A89" s="2"/>
      <c r="B89" s="27" t="s">
        <v>61</v>
      </c>
      <c r="C89" s="634" t="s">
        <v>197</v>
      </c>
      <c r="D89" s="635"/>
      <c r="E89" s="635"/>
      <c r="F89" s="635"/>
      <c r="G89" s="635"/>
      <c r="H89" s="635"/>
      <c r="I89" s="635"/>
      <c r="J89" s="635"/>
      <c r="K89" s="635"/>
      <c r="L89" s="635"/>
      <c r="M89" s="636"/>
      <c r="N89" s="2"/>
    </row>
    <row r="90" spans="1:64" ht="15">
      <c r="A90" s="20" t="s">
        <v>198</v>
      </c>
      <c r="B90" s="3" t="s">
        <v>199</v>
      </c>
      <c r="C90" s="618" t="s">
        <v>200</v>
      </c>
      <c r="D90" s="608"/>
      <c r="E90" s="3" t="s">
        <v>54</v>
      </c>
      <c r="F90" s="21">
        <v>43.05</v>
      </c>
      <c r="G90" s="537"/>
      <c r="H90" s="21">
        <f>F90*AO90</f>
        <v>0</v>
      </c>
      <c r="I90" s="21">
        <f>F90*AP90</f>
        <v>0</v>
      </c>
      <c r="J90" s="21">
        <f>F90*G90</f>
        <v>0</v>
      </c>
      <c r="K90" s="21">
        <v>0.188</v>
      </c>
      <c r="L90" s="21">
        <f>F90*K90</f>
        <v>8.093399999999999</v>
      </c>
      <c r="M90" s="22" t="s">
        <v>55</v>
      </c>
      <c r="N90" s="2"/>
      <c r="Z90" s="21">
        <f>IF(AQ90="5",BJ90,0)</f>
        <v>0</v>
      </c>
      <c r="AB90" s="21">
        <f>IF(AQ90="1",BH90,0)</f>
        <v>0</v>
      </c>
      <c r="AC90" s="21">
        <f>IF(AQ90="1",BI90,0)</f>
        <v>0</v>
      </c>
      <c r="AD90" s="21">
        <f>IF(AQ90="7",BH90,0)</f>
        <v>0</v>
      </c>
      <c r="AE90" s="21">
        <f>IF(AQ90="7",BI90,0)</f>
        <v>0</v>
      </c>
      <c r="AF90" s="21">
        <f>IF(AQ90="2",BH90,0)</f>
        <v>0</v>
      </c>
      <c r="AG90" s="21">
        <f>IF(AQ90="2",BI90,0)</f>
        <v>0</v>
      </c>
      <c r="AH90" s="21">
        <f>IF(AQ90="0",BJ90,0)</f>
        <v>0</v>
      </c>
      <c r="AI90" s="10"/>
      <c r="AJ90" s="21">
        <f>IF(AN90=0,J90,0)</f>
        <v>0</v>
      </c>
      <c r="AK90" s="21">
        <f>IF(AN90=15,J90,0)</f>
        <v>0</v>
      </c>
      <c r="AL90" s="21">
        <f>IF(AN90=21,J90,0)</f>
        <v>0</v>
      </c>
      <c r="AN90" s="21">
        <v>21</v>
      </c>
      <c r="AO90" s="21">
        <f>G90*1</f>
        <v>0</v>
      </c>
      <c r="AP90" s="21">
        <f>G90*(1-1)</f>
        <v>0</v>
      </c>
      <c r="AQ90" s="23" t="s">
        <v>51</v>
      </c>
      <c r="AV90" s="21">
        <f>AW90+AX90</f>
        <v>0</v>
      </c>
      <c r="AW90" s="21">
        <f>F90*AO90</f>
        <v>0</v>
      </c>
      <c r="AX90" s="21">
        <f>F90*AP90</f>
        <v>0</v>
      </c>
      <c r="AY90" s="23" t="s">
        <v>190</v>
      </c>
      <c r="AZ90" s="23" t="s">
        <v>137</v>
      </c>
      <c r="BA90" s="10" t="s">
        <v>58</v>
      </c>
      <c r="BC90" s="21">
        <f>AW90+AX90</f>
        <v>0</v>
      </c>
      <c r="BD90" s="21">
        <f>G90/(100-BE90)*100</f>
        <v>0</v>
      </c>
      <c r="BE90" s="21">
        <v>0</v>
      </c>
      <c r="BF90" s="21">
        <f>L90</f>
        <v>8.093399999999999</v>
      </c>
      <c r="BH90" s="21">
        <f>F90*AO90</f>
        <v>0</v>
      </c>
      <c r="BI90" s="21">
        <f>F90*AP90</f>
        <v>0</v>
      </c>
      <c r="BJ90" s="21">
        <f>F90*G90</f>
        <v>0</v>
      </c>
      <c r="BK90" s="21" t="s">
        <v>201</v>
      </c>
      <c r="BL90" s="21">
        <v>59</v>
      </c>
    </row>
    <row r="91" spans="1:14" ht="15">
      <c r="A91" s="2"/>
      <c r="C91" s="24" t="s">
        <v>202</v>
      </c>
      <c r="D91" s="24" t="s">
        <v>196</v>
      </c>
      <c r="F91" s="25">
        <v>33.5</v>
      </c>
      <c r="M91" s="26"/>
      <c r="N91" s="2"/>
    </row>
    <row r="92" spans="1:14" ht="15">
      <c r="A92" s="2"/>
      <c r="C92" s="24" t="s">
        <v>203</v>
      </c>
      <c r="D92" s="24" t="s">
        <v>204</v>
      </c>
      <c r="F92" s="25">
        <v>7.5</v>
      </c>
      <c r="M92" s="26"/>
      <c r="N92" s="2"/>
    </row>
    <row r="93" spans="1:14" ht="15">
      <c r="A93" s="2"/>
      <c r="C93" s="24" t="s">
        <v>205</v>
      </c>
      <c r="D93" s="24"/>
      <c r="F93" s="25">
        <v>2.05</v>
      </c>
      <c r="M93" s="26"/>
      <c r="N93" s="2"/>
    </row>
    <row r="94" spans="1:64" ht="15">
      <c r="A94" s="20" t="s">
        <v>206</v>
      </c>
      <c r="B94" s="3" t="s">
        <v>207</v>
      </c>
      <c r="C94" s="618" t="s">
        <v>208</v>
      </c>
      <c r="D94" s="608"/>
      <c r="E94" s="3" t="s">
        <v>54</v>
      </c>
      <c r="F94" s="21">
        <v>209.475</v>
      </c>
      <c r="G94" s="537"/>
      <c r="H94" s="21">
        <f>F94*AO94</f>
        <v>0</v>
      </c>
      <c r="I94" s="21">
        <f>F94*AP94</f>
        <v>0</v>
      </c>
      <c r="J94" s="21">
        <f>F94*G94</f>
        <v>0</v>
      </c>
      <c r="K94" s="21">
        <v>0.188</v>
      </c>
      <c r="L94" s="21">
        <f>F94*K94</f>
        <v>39.381299999999996</v>
      </c>
      <c r="M94" s="22" t="s">
        <v>55</v>
      </c>
      <c r="N94" s="2"/>
      <c r="Z94" s="21">
        <f>IF(AQ94="5",BJ94,0)</f>
        <v>0</v>
      </c>
      <c r="AB94" s="21">
        <f>IF(AQ94="1",BH94,0)</f>
        <v>0</v>
      </c>
      <c r="AC94" s="21">
        <f>IF(AQ94="1",BI94,0)</f>
        <v>0</v>
      </c>
      <c r="AD94" s="21">
        <f>IF(AQ94="7",BH94,0)</f>
        <v>0</v>
      </c>
      <c r="AE94" s="21">
        <f>IF(AQ94="7",BI94,0)</f>
        <v>0</v>
      </c>
      <c r="AF94" s="21">
        <f>IF(AQ94="2",BH94,0)</f>
        <v>0</v>
      </c>
      <c r="AG94" s="21">
        <f>IF(AQ94="2",BI94,0)</f>
        <v>0</v>
      </c>
      <c r="AH94" s="21">
        <f>IF(AQ94="0",BJ94,0)</f>
        <v>0</v>
      </c>
      <c r="AI94" s="10"/>
      <c r="AJ94" s="21">
        <f>IF(AN94=0,J94,0)</f>
        <v>0</v>
      </c>
      <c r="AK94" s="21">
        <f>IF(AN94=15,J94,0)</f>
        <v>0</v>
      </c>
      <c r="AL94" s="21">
        <f>IF(AN94=21,J94,0)</f>
        <v>0</v>
      </c>
      <c r="AN94" s="21">
        <v>21</v>
      </c>
      <c r="AO94" s="21">
        <f>G94*1</f>
        <v>0</v>
      </c>
      <c r="AP94" s="21">
        <f>G94*(1-1)</f>
        <v>0</v>
      </c>
      <c r="AQ94" s="23" t="s">
        <v>51</v>
      </c>
      <c r="AV94" s="21">
        <f>AW94+AX94</f>
        <v>0</v>
      </c>
      <c r="AW94" s="21">
        <f>F94*AO94</f>
        <v>0</v>
      </c>
      <c r="AX94" s="21">
        <f>F94*AP94</f>
        <v>0</v>
      </c>
      <c r="AY94" s="23" t="s">
        <v>190</v>
      </c>
      <c r="AZ94" s="23" t="s">
        <v>137</v>
      </c>
      <c r="BA94" s="10" t="s">
        <v>58</v>
      </c>
      <c r="BC94" s="21">
        <f>AW94+AX94</f>
        <v>0</v>
      </c>
      <c r="BD94" s="21">
        <f>G94/(100-BE94)*100</f>
        <v>0</v>
      </c>
      <c r="BE94" s="21">
        <v>0</v>
      </c>
      <c r="BF94" s="21">
        <f>L94</f>
        <v>39.381299999999996</v>
      </c>
      <c r="BH94" s="21">
        <f>F94*AO94</f>
        <v>0</v>
      </c>
      <c r="BI94" s="21">
        <f>F94*AP94</f>
        <v>0</v>
      </c>
      <c r="BJ94" s="21">
        <f>F94*G94</f>
        <v>0</v>
      </c>
      <c r="BK94" s="21" t="s">
        <v>201</v>
      </c>
      <c r="BL94" s="21">
        <v>59</v>
      </c>
    </row>
    <row r="95" spans="1:14" ht="15">
      <c r="A95" s="2"/>
      <c r="C95" s="24" t="s">
        <v>209</v>
      </c>
      <c r="D95" s="24"/>
      <c r="F95" s="25">
        <v>199.5</v>
      </c>
      <c r="M95" s="26"/>
      <c r="N95" s="2"/>
    </row>
    <row r="96" spans="1:14" ht="15">
      <c r="A96" s="2"/>
      <c r="C96" s="24" t="s">
        <v>210</v>
      </c>
      <c r="D96" s="24"/>
      <c r="F96" s="25">
        <v>9.975</v>
      </c>
      <c r="M96" s="26"/>
      <c r="N96" s="2"/>
    </row>
    <row r="97" spans="1:64" ht="15">
      <c r="A97" s="20" t="s">
        <v>211</v>
      </c>
      <c r="B97" s="3" t="s">
        <v>212</v>
      </c>
      <c r="C97" s="618" t="s">
        <v>213</v>
      </c>
      <c r="D97" s="608"/>
      <c r="E97" s="3" t="s">
        <v>54</v>
      </c>
      <c r="F97" s="21">
        <v>1.575</v>
      </c>
      <c r="G97" s="537"/>
      <c r="H97" s="21">
        <f>F97*AO97</f>
        <v>0</v>
      </c>
      <c r="I97" s="21">
        <f>F97*AP97</f>
        <v>0</v>
      </c>
      <c r="J97" s="21">
        <f>F97*G97</f>
        <v>0</v>
      </c>
      <c r="K97" s="21">
        <v>0.176</v>
      </c>
      <c r="L97" s="21">
        <f>F97*K97</f>
        <v>0.2772</v>
      </c>
      <c r="M97" s="22" t="s">
        <v>55</v>
      </c>
      <c r="N97" s="2"/>
      <c r="Z97" s="21">
        <f>IF(AQ97="5",BJ97,0)</f>
        <v>0</v>
      </c>
      <c r="AB97" s="21">
        <f>IF(AQ97="1",BH97,0)</f>
        <v>0</v>
      </c>
      <c r="AC97" s="21">
        <f>IF(AQ97="1",BI97,0)</f>
        <v>0</v>
      </c>
      <c r="AD97" s="21">
        <f>IF(AQ97="7",BH97,0)</f>
        <v>0</v>
      </c>
      <c r="AE97" s="21">
        <f>IF(AQ97="7",BI97,0)</f>
        <v>0</v>
      </c>
      <c r="AF97" s="21">
        <f>IF(AQ97="2",BH97,0)</f>
        <v>0</v>
      </c>
      <c r="AG97" s="21">
        <f>IF(AQ97="2",BI97,0)</f>
        <v>0</v>
      </c>
      <c r="AH97" s="21">
        <f>IF(AQ97="0",BJ97,0)</f>
        <v>0</v>
      </c>
      <c r="AI97" s="10"/>
      <c r="AJ97" s="21">
        <f>IF(AN97=0,J97,0)</f>
        <v>0</v>
      </c>
      <c r="AK97" s="21">
        <f>IF(AN97=15,J97,0)</f>
        <v>0</v>
      </c>
      <c r="AL97" s="21">
        <f>IF(AN97=21,J97,0)</f>
        <v>0</v>
      </c>
      <c r="AN97" s="21">
        <v>21</v>
      </c>
      <c r="AO97" s="21">
        <f>G97*1</f>
        <v>0</v>
      </c>
      <c r="AP97" s="21">
        <f>G97*(1-1)</f>
        <v>0</v>
      </c>
      <c r="AQ97" s="23" t="s">
        <v>51</v>
      </c>
      <c r="AV97" s="21">
        <f>AW97+AX97</f>
        <v>0</v>
      </c>
      <c r="AW97" s="21">
        <f>F97*AO97</f>
        <v>0</v>
      </c>
      <c r="AX97" s="21">
        <f>F97*AP97</f>
        <v>0</v>
      </c>
      <c r="AY97" s="23" t="s">
        <v>190</v>
      </c>
      <c r="AZ97" s="23" t="s">
        <v>137</v>
      </c>
      <c r="BA97" s="10" t="s">
        <v>58</v>
      </c>
      <c r="BC97" s="21">
        <f>AW97+AX97</f>
        <v>0</v>
      </c>
      <c r="BD97" s="21">
        <f>G97/(100-BE97)*100</f>
        <v>0</v>
      </c>
      <c r="BE97" s="21">
        <v>0</v>
      </c>
      <c r="BF97" s="21">
        <f>L97</f>
        <v>0.2772</v>
      </c>
      <c r="BH97" s="21">
        <f>F97*AO97</f>
        <v>0</v>
      </c>
      <c r="BI97" s="21">
        <f>F97*AP97</f>
        <v>0</v>
      </c>
      <c r="BJ97" s="21">
        <f>F97*G97</f>
        <v>0</v>
      </c>
      <c r="BK97" s="21" t="s">
        <v>201</v>
      </c>
      <c r="BL97" s="21">
        <v>59</v>
      </c>
    </row>
    <row r="98" spans="1:14" ht="15">
      <c r="A98" s="2"/>
      <c r="C98" s="24" t="s">
        <v>214</v>
      </c>
      <c r="D98" s="24"/>
      <c r="F98" s="25">
        <v>1.5</v>
      </c>
      <c r="M98" s="26"/>
      <c r="N98" s="2"/>
    </row>
    <row r="99" spans="1:14" ht="15">
      <c r="A99" s="2"/>
      <c r="C99" s="24" t="s">
        <v>215</v>
      </c>
      <c r="D99" s="24"/>
      <c r="F99" s="25">
        <v>0.075</v>
      </c>
      <c r="M99" s="26"/>
      <c r="N99" s="2"/>
    </row>
    <row r="100" spans="1:14" ht="15">
      <c r="A100" s="2"/>
      <c r="B100" s="27" t="s">
        <v>61</v>
      </c>
      <c r="C100" s="634" t="s">
        <v>216</v>
      </c>
      <c r="D100" s="635"/>
      <c r="E100" s="635"/>
      <c r="F100" s="635"/>
      <c r="G100" s="635"/>
      <c r="H100" s="635"/>
      <c r="I100" s="635"/>
      <c r="J100" s="635"/>
      <c r="K100" s="635"/>
      <c r="L100" s="635"/>
      <c r="M100" s="636"/>
      <c r="N100" s="2"/>
    </row>
    <row r="101" spans="1:64" ht="15">
      <c r="A101" s="20" t="s">
        <v>108</v>
      </c>
      <c r="B101" s="3" t="s">
        <v>217</v>
      </c>
      <c r="C101" s="618" t="s">
        <v>218</v>
      </c>
      <c r="D101" s="608"/>
      <c r="E101" s="3" t="s">
        <v>54</v>
      </c>
      <c r="F101" s="21">
        <v>3.15</v>
      </c>
      <c r="G101" s="537"/>
      <c r="H101" s="21">
        <f>F101*AO101</f>
        <v>0</v>
      </c>
      <c r="I101" s="21">
        <f>F101*AP101</f>
        <v>0</v>
      </c>
      <c r="J101" s="21">
        <f>F101*G101</f>
        <v>0</v>
      </c>
      <c r="K101" s="21">
        <v>0.188</v>
      </c>
      <c r="L101" s="21">
        <f>F101*K101</f>
        <v>0.5922</v>
      </c>
      <c r="M101" s="22" t="s">
        <v>55</v>
      </c>
      <c r="N101" s="2"/>
      <c r="Z101" s="21">
        <f>IF(AQ101="5",BJ101,0)</f>
        <v>0</v>
      </c>
      <c r="AB101" s="21">
        <f>IF(AQ101="1",BH101,0)</f>
        <v>0</v>
      </c>
      <c r="AC101" s="21">
        <f>IF(AQ101="1",BI101,0)</f>
        <v>0</v>
      </c>
      <c r="AD101" s="21">
        <f>IF(AQ101="7",BH101,0)</f>
        <v>0</v>
      </c>
      <c r="AE101" s="21">
        <f>IF(AQ101="7",BI101,0)</f>
        <v>0</v>
      </c>
      <c r="AF101" s="21">
        <f>IF(AQ101="2",BH101,0)</f>
        <v>0</v>
      </c>
      <c r="AG101" s="21">
        <f>IF(AQ101="2",BI101,0)</f>
        <v>0</v>
      </c>
      <c r="AH101" s="21">
        <f>IF(AQ101="0",BJ101,0)</f>
        <v>0</v>
      </c>
      <c r="AI101" s="10"/>
      <c r="AJ101" s="21">
        <f>IF(AN101=0,J101,0)</f>
        <v>0</v>
      </c>
      <c r="AK101" s="21">
        <f>IF(AN101=15,J101,0)</f>
        <v>0</v>
      </c>
      <c r="AL101" s="21">
        <f>IF(AN101=21,J101,0)</f>
        <v>0</v>
      </c>
      <c r="AN101" s="21">
        <v>21</v>
      </c>
      <c r="AO101" s="21">
        <f>G101*1</f>
        <v>0</v>
      </c>
      <c r="AP101" s="21">
        <f>G101*(1-1)</f>
        <v>0</v>
      </c>
      <c r="AQ101" s="23" t="s">
        <v>51</v>
      </c>
      <c r="AV101" s="21">
        <f>AW101+AX101</f>
        <v>0</v>
      </c>
      <c r="AW101" s="21">
        <f>F101*AO101</f>
        <v>0</v>
      </c>
      <c r="AX101" s="21">
        <f>F101*AP101</f>
        <v>0</v>
      </c>
      <c r="AY101" s="23" t="s">
        <v>190</v>
      </c>
      <c r="AZ101" s="23" t="s">
        <v>137</v>
      </c>
      <c r="BA101" s="10" t="s">
        <v>58</v>
      </c>
      <c r="BC101" s="21">
        <f>AW101+AX101</f>
        <v>0</v>
      </c>
      <c r="BD101" s="21">
        <f>G101/(100-BE101)*100</f>
        <v>0</v>
      </c>
      <c r="BE101" s="21">
        <v>0</v>
      </c>
      <c r="BF101" s="21">
        <f>L101</f>
        <v>0.5922</v>
      </c>
      <c r="BH101" s="21">
        <f>F101*AO101</f>
        <v>0</v>
      </c>
      <c r="BI101" s="21">
        <f>F101*AP101</f>
        <v>0</v>
      </c>
      <c r="BJ101" s="21">
        <f>F101*G101</f>
        <v>0</v>
      </c>
      <c r="BK101" s="21" t="s">
        <v>201</v>
      </c>
      <c r="BL101" s="21">
        <v>59</v>
      </c>
    </row>
    <row r="102" spans="1:14" ht="15">
      <c r="A102" s="2"/>
      <c r="C102" s="24" t="s">
        <v>67</v>
      </c>
      <c r="D102" s="24"/>
      <c r="F102" s="25">
        <v>3</v>
      </c>
      <c r="M102" s="26"/>
      <c r="N102" s="2"/>
    </row>
    <row r="103" spans="1:14" ht="15">
      <c r="A103" s="2"/>
      <c r="C103" s="24" t="s">
        <v>219</v>
      </c>
      <c r="D103" s="24"/>
      <c r="F103" s="25">
        <v>0.15</v>
      </c>
      <c r="M103" s="26"/>
      <c r="N103" s="2"/>
    </row>
    <row r="104" spans="1:14" ht="25.65" customHeight="1">
      <c r="A104" s="2"/>
      <c r="B104" s="27" t="s">
        <v>61</v>
      </c>
      <c r="C104" s="634" t="s">
        <v>220</v>
      </c>
      <c r="D104" s="635"/>
      <c r="E104" s="635"/>
      <c r="F104" s="635"/>
      <c r="G104" s="635"/>
      <c r="H104" s="635"/>
      <c r="I104" s="635"/>
      <c r="J104" s="635"/>
      <c r="K104" s="635"/>
      <c r="L104" s="635"/>
      <c r="M104" s="636"/>
      <c r="N104" s="2"/>
    </row>
    <row r="105" spans="1:64" ht="15">
      <c r="A105" s="20" t="s">
        <v>221</v>
      </c>
      <c r="B105" s="3" t="s">
        <v>222</v>
      </c>
      <c r="C105" s="618" t="s">
        <v>223</v>
      </c>
      <c r="D105" s="608"/>
      <c r="E105" s="3" t="s">
        <v>54</v>
      </c>
      <c r="F105" s="21">
        <v>4.5</v>
      </c>
      <c r="G105" s="537"/>
      <c r="H105" s="21">
        <f>F105*AO105</f>
        <v>0</v>
      </c>
      <c r="I105" s="21">
        <f>F105*AP105</f>
        <v>0</v>
      </c>
      <c r="J105" s="21">
        <f>F105*G105</f>
        <v>0</v>
      </c>
      <c r="K105" s="21">
        <v>0</v>
      </c>
      <c r="L105" s="21">
        <f>F105*K105</f>
        <v>0</v>
      </c>
      <c r="M105" s="22" t="s">
        <v>55</v>
      </c>
      <c r="N105" s="2"/>
      <c r="Z105" s="21">
        <f>IF(AQ105="5",BJ105,0)</f>
        <v>0</v>
      </c>
      <c r="AB105" s="21">
        <f>IF(AQ105="1",BH105,0)</f>
        <v>0</v>
      </c>
      <c r="AC105" s="21">
        <f>IF(AQ105="1",BI105,0)</f>
        <v>0</v>
      </c>
      <c r="AD105" s="21">
        <f>IF(AQ105="7",BH105,0)</f>
        <v>0</v>
      </c>
      <c r="AE105" s="21">
        <f>IF(AQ105="7",BI105,0)</f>
        <v>0</v>
      </c>
      <c r="AF105" s="21">
        <f>IF(AQ105="2",BH105,0)</f>
        <v>0</v>
      </c>
      <c r="AG105" s="21">
        <f>IF(AQ105="2",BI105,0)</f>
        <v>0</v>
      </c>
      <c r="AH105" s="21">
        <f>IF(AQ105="0",BJ105,0)</f>
        <v>0</v>
      </c>
      <c r="AI105" s="10"/>
      <c r="AJ105" s="21">
        <f>IF(AN105=0,J105,0)</f>
        <v>0</v>
      </c>
      <c r="AK105" s="21">
        <f>IF(AN105=15,J105,0)</f>
        <v>0</v>
      </c>
      <c r="AL105" s="21">
        <f>IF(AN105=21,J105,0)</f>
        <v>0</v>
      </c>
      <c r="AN105" s="21">
        <v>21</v>
      </c>
      <c r="AO105" s="21">
        <f>G105*0</f>
        <v>0</v>
      </c>
      <c r="AP105" s="21">
        <f>G105*(1-0)</f>
        <v>0</v>
      </c>
      <c r="AQ105" s="23" t="s">
        <v>51</v>
      </c>
      <c r="AV105" s="21">
        <f>AW105+AX105</f>
        <v>0</v>
      </c>
      <c r="AW105" s="21">
        <f>F105*AO105</f>
        <v>0</v>
      </c>
      <c r="AX105" s="21">
        <f>F105*AP105</f>
        <v>0</v>
      </c>
      <c r="AY105" s="23" t="s">
        <v>190</v>
      </c>
      <c r="AZ105" s="23" t="s">
        <v>137</v>
      </c>
      <c r="BA105" s="10" t="s">
        <v>58</v>
      </c>
      <c r="BC105" s="21">
        <f>AW105+AX105</f>
        <v>0</v>
      </c>
      <c r="BD105" s="21">
        <f>G105/(100-BE105)*100</f>
        <v>0</v>
      </c>
      <c r="BE105" s="21">
        <v>0</v>
      </c>
      <c r="BF105" s="21">
        <f>L105</f>
        <v>0</v>
      </c>
      <c r="BH105" s="21">
        <f>F105*AO105</f>
        <v>0</v>
      </c>
      <c r="BI105" s="21">
        <f>F105*AP105</f>
        <v>0</v>
      </c>
      <c r="BJ105" s="21">
        <f>F105*G105</f>
        <v>0</v>
      </c>
      <c r="BK105" s="21" t="s">
        <v>59</v>
      </c>
      <c r="BL105" s="21">
        <v>59</v>
      </c>
    </row>
    <row r="106" spans="1:14" ht="15">
      <c r="A106" s="2"/>
      <c r="C106" s="24" t="s">
        <v>224</v>
      </c>
      <c r="D106" s="24"/>
      <c r="F106" s="25">
        <v>4.5</v>
      </c>
      <c r="M106" s="26"/>
      <c r="N106" s="2"/>
    </row>
    <row r="107" spans="1:14" ht="15">
      <c r="A107" s="2"/>
      <c r="B107" s="27" t="s">
        <v>61</v>
      </c>
      <c r="C107" s="634" t="s">
        <v>225</v>
      </c>
      <c r="D107" s="635"/>
      <c r="E107" s="635"/>
      <c r="F107" s="635"/>
      <c r="G107" s="635"/>
      <c r="H107" s="635"/>
      <c r="I107" s="635"/>
      <c r="J107" s="635"/>
      <c r="K107" s="635"/>
      <c r="L107" s="635"/>
      <c r="M107" s="636"/>
      <c r="N107" s="2"/>
    </row>
    <row r="108" spans="1:64" ht="15">
      <c r="A108" s="20" t="s">
        <v>226</v>
      </c>
      <c r="B108" s="3" t="s">
        <v>227</v>
      </c>
      <c r="C108" s="618" t="s">
        <v>228</v>
      </c>
      <c r="D108" s="608"/>
      <c r="E108" s="3" t="s">
        <v>54</v>
      </c>
      <c r="F108" s="21">
        <v>4.5</v>
      </c>
      <c r="G108" s="537"/>
      <c r="H108" s="21">
        <f>F108*AO108</f>
        <v>0</v>
      </c>
      <c r="I108" s="21">
        <f>F108*AP108</f>
        <v>0</v>
      </c>
      <c r="J108" s="21">
        <f>F108*G108</f>
        <v>0</v>
      </c>
      <c r="K108" s="21">
        <v>0</v>
      </c>
      <c r="L108" s="21">
        <f>F108*K108</f>
        <v>0</v>
      </c>
      <c r="M108" s="22" t="s">
        <v>55</v>
      </c>
      <c r="N108" s="2"/>
      <c r="Z108" s="21">
        <f>IF(AQ108="5",BJ108,0)</f>
        <v>0</v>
      </c>
      <c r="AB108" s="21">
        <f>IF(AQ108="1",BH108,0)</f>
        <v>0</v>
      </c>
      <c r="AC108" s="21">
        <f>IF(AQ108="1",BI108,0)</f>
        <v>0</v>
      </c>
      <c r="AD108" s="21">
        <f>IF(AQ108="7",BH108,0)</f>
        <v>0</v>
      </c>
      <c r="AE108" s="21">
        <f>IF(AQ108="7",BI108,0)</f>
        <v>0</v>
      </c>
      <c r="AF108" s="21">
        <f>IF(AQ108="2",BH108,0)</f>
        <v>0</v>
      </c>
      <c r="AG108" s="21">
        <f>IF(AQ108="2",BI108,0)</f>
        <v>0</v>
      </c>
      <c r="AH108" s="21">
        <f>IF(AQ108="0",BJ108,0)</f>
        <v>0</v>
      </c>
      <c r="AI108" s="10"/>
      <c r="AJ108" s="21">
        <f>IF(AN108=0,J108,0)</f>
        <v>0</v>
      </c>
      <c r="AK108" s="21">
        <f>IF(AN108=15,J108,0)</f>
        <v>0</v>
      </c>
      <c r="AL108" s="21">
        <f>IF(AN108=21,J108,0)</f>
        <v>0</v>
      </c>
      <c r="AN108" s="21">
        <v>21</v>
      </c>
      <c r="AO108" s="21">
        <f>G108*0</f>
        <v>0</v>
      </c>
      <c r="AP108" s="21">
        <f>G108*(1-0)</f>
        <v>0</v>
      </c>
      <c r="AQ108" s="23" t="s">
        <v>51</v>
      </c>
      <c r="AV108" s="21">
        <f>AW108+AX108</f>
        <v>0</v>
      </c>
      <c r="AW108" s="21">
        <f>F108*AO108</f>
        <v>0</v>
      </c>
      <c r="AX108" s="21">
        <f>F108*AP108</f>
        <v>0</v>
      </c>
      <c r="AY108" s="23" t="s">
        <v>190</v>
      </c>
      <c r="AZ108" s="23" t="s">
        <v>137</v>
      </c>
      <c r="BA108" s="10" t="s">
        <v>58</v>
      </c>
      <c r="BC108" s="21">
        <f>AW108+AX108</f>
        <v>0</v>
      </c>
      <c r="BD108" s="21">
        <f>G108/(100-BE108)*100</f>
        <v>0</v>
      </c>
      <c r="BE108" s="21">
        <v>0</v>
      </c>
      <c r="BF108" s="21">
        <f>L108</f>
        <v>0</v>
      </c>
      <c r="BH108" s="21">
        <f>F108*AO108</f>
        <v>0</v>
      </c>
      <c r="BI108" s="21">
        <f>F108*AP108</f>
        <v>0</v>
      </c>
      <c r="BJ108" s="21">
        <f>F108*G108</f>
        <v>0</v>
      </c>
      <c r="BK108" s="21" t="s">
        <v>59</v>
      </c>
      <c r="BL108" s="21">
        <v>59</v>
      </c>
    </row>
    <row r="109" spans="1:14" ht="15">
      <c r="A109" s="2"/>
      <c r="C109" s="24" t="s">
        <v>224</v>
      </c>
      <c r="D109" s="24"/>
      <c r="F109" s="25">
        <v>4.5</v>
      </c>
      <c r="M109" s="26"/>
      <c r="N109" s="2"/>
    </row>
    <row r="110" spans="1:14" ht="15">
      <c r="A110" s="2"/>
      <c r="B110" s="27" t="s">
        <v>61</v>
      </c>
      <c r="C110" s="634" t="s">
        <v>225</v>
      </c>
      <c r="D110" s="635"/>
      <c r="E110" s="635"/>
      <c r="F110" s="635"/>
      <c r="G110" s="635"/>
      <c r="H110" s="635"/>
      <c r="I110" s="635"/>
      <c r="J110" s="635"/>
      <c r="K110" s="635"/>
      <c r="L110" s="635"/>
      <c r="M110" s="636"/>
      <c r="N110" s="2"/>
    </row>
    <row r="111" spans="1:64" ht="15">
      <c r="A111" s="20" t="s">
        <v>229</v>
      </c>
      <c r="B111" s="3" t="s">
        <v>230</v>
      </c>
      <c r="C111" s="618" t="s">
        <v>231</v>
      </c>
      <c r="D111" s="608"/>
      <c r="E111" s="3" t="s">
        <v>74</v>
      </c>
      <c r="F111" s="21">
        <v>50</v>
      </c>
      <c r="G111" s="537"/>
      <c r="H111" s="21">
        <f>F111*AO111</f>
        <v>0</v>
      </c>
      <c r="I111" s="21">
        <f>F111*AP111</f>
        <v>0</v>
      </c>
      <c r="J111" s="21">
        <f>F111*G111</f>
        <v>0</v>
      </c>
      <c r="K111" s="21">
        <v>0.00036</v>
      </c>
      <c r="L111" s="21">
        <f>F111*K111</f>
        <v>0.018000000000000002</v>
      </c>
      <c r="M111" s="22" t="s">
        <v>55</v>
      </c>
      <c r="N111" s="2"/>
      <c r="Z111" s="21">
        <f>IF(AQ111="5",BJ111,0)</f>
        <v>0</v>
      </c>
      <c r="AB111" s="21">
        <f>IF(AQ111="1",BH111,0)</f>
        <v>0</v>
      </c>
      <c r="AC111" s="21">
        <f>IF(AQ111="1",BI111,0)</f>
        <v>0</v>
      </c>
      <c r="AD111" s="21">
        <f>IF(AQ111="7",BH111,0)</f>
        <v>0</v>
      </c>
      <c r="AE111" s="21">
        <f>IF(AQ111="7",BI111,0)</f>
        <v>0</v>
      </c>
      <c r="AF111" s="21">
        <f>IF(AQ111="2",BH111,0)</f>
        <v>0</v>
      </c>
      <c r="AG111" s="21">
        <f>IF(AQ111="2",BI111,0)</f>
        <v>0</v>
      </c>
      <c r="AH111" s="21">
        <f>IF(AQ111="0",BJ111,0)</f>
        <v>0</v>
      </c>
      <c r="AI111" s="10"/>
      <c r="AJ111" s="21">
        <f>IF(AN111=0,J111,0)</f>
        <v>0</v>
      </c>
      <c r="AK111" s="21">
        <f>IF(AN111=15,J111,0)</f>
        <v>0</v>
      </c>
      <c r="AL111" s="21">
        <f>IF(AN111=21,J111,0)</f>
        <v>0</v>
      </c>
      <c r="AN111" s="21">
        <v>21</v>
      </c>
      <c r="AO111" s="21">
        <f>G111*0.0615708812260536</f>
        <v>0</v>
      </c>
      <c r="AP111" s="21">
        <f>G111*(1-0.0615708812260536)</f>
        <v>0</v>
      </c>
      <c r="AQ111" s="23" t="s">
        <v>51</v>
      </c>
      <c r="AV111" s="21">
        <f>AW111+AX111</f>
        <v>0</v>
      </c>
      <c r="AW111" s="21">
        <f>F111*AO111</f>
        <v>0</v>
      </c>
      <c r="AX111" s="21">
        <f>F111*AP111</f>
        <v>0</v>
      </c>
      <c r="AY111" s="23" t="s">
        <v>190</v>
      </c>
      <c r="AZ111" s="23" t="s">
        <v>137</v>
      </c>
      <c r="BA111" s="10" t="s">
        <v>58</v>
      </c>
      <c r="BC111" s="21">
        <f>AW111+AX111</f>
        <v>0</v>
      </c>
      <c r="BD111" s="21">
        <f>G111/(100-BE111)*100</f>
        <v>0</v>
      </c>
      <c r="BE111" s="21">
        <v>0</v>
      </c>
      <c r="BF111" s="21">
        <f>L111</f>
        <v>0.018000000000000002</v>
      </c>
      <c r="BH111" s="21">
        <f>F111*AO111</f>
        <v>0</v>
      </c>
      <c r="BI111" s="21">
        <f>F111*AP111</f>
        <v>0</v>
      </c>
      <c r="BJ111" s="21">
        <f>F111*G111</f>
        <v>0</v>
      </c>
      <c r="BK111" s="21" t="s">
        <v>59</v>
      </c>
      <c r="BL111" s="21">
        <v>59</v>
      </c>
    </row>
    <row r="112" spans="1:14" ht="15">
      <c r="A112" s="2"/>
      <c r="C112" s="24" t="s">
        <v>232</v>
      </c>
      <c r="D112" s="24"/>
      <c r="F112" s="25">
        <v>50</v>
      </c>
      <c r="M112" s="26"/>
      <c r="N112" s="2"/>
    </row>
    <row r="113" spans="1:64" ht="15">
      <c r="A113" s="20" t="s">
        <v>112</v>
      </c>
      <c r="B113" s="3" t="s">
        <v>233</v>
      </c>
      <c r="C113" s="618" t="s">
        <v>234</v>
      </c>
      <c r="D113" s="608"/>
      <c r="E113" s="3" t="s">
        <v>54</v>
      </c>
      <c r="F113" s="21">
        <v>152</v>
      </c>
      <c r="G113" s="537"/>
      <c r="H113" s="21">
        <f>F113*AO113</f>
        <v>0</v>
      </c>
      <c r="I113" s="21">
        <f>F113*AP113</f>
        <v>0</v>
      </c>
      <c r="J113" s="21">
        <f>F113*G113</f>
        <v>0</v>
      </c>
      <c r="K113" s="21">
        <v>0.0739</v>
      </c>
      <c r="L113" s="21">
        <f>F113*K113</f>
        <v>11.2328</v>
      </c>
      <c r="M113" s="22" t="s">
        <v>55</v>
      </c>
      <c r="N113" s="2"/>
      <c r="Z113" s="21">
        <f>IF(AQ113="5",BJ113,0)</f>
        <v>0</v>
      </c>
      <c r="AB113" s="21">
        <f>IF(AQ113="1",BH113,0)</f>
        <v>0</v>
      </c>
      <c r="AC113" s="21">
        <f>IF(AQ113="1",BI113,0)</f>
        <v>0</v>
      </c>
      <c r="AD113" s="21">
        <f>IF(AQ113="7",BH113,0)</f>
        <v>0</v>
      </c>
      <c r="AE113" s="21">
        <f>IF(AQ113="7",BI113,0)</f>
        <v>0</v>
      </c>
      <c r="AF113" s="21">
        <f>IF(AQ113="2",BH113,0)</f>
        <v>0</v>
      </c>
      <c r="AG113" s="21">
        <f>IF(AQ113="2",BI113,0)</f>
        <v>0</v>
      </c>
      <c r="AH113" s="21">
        <f>IF(AQ113="0",BJ113,0)</f>
        <v>0</v>
      </c>
      <c r="AI113" s="10"/>
      <c r="AJ113" s="21">
        <f>IF(AN113=0,J113,0)</f>
        <v>0</v>
      </c>
      <c r="AK113" s="21">
        <f>IF(AN113=15,J113,0)</f>
        <v>0</v>
      </c>
      <c r="AL113" s="21">
        <f>IF(AN113=21,J113,0)</f>
        <v>0</v>
      </c>
      <c r="AN113" s="21">
        <v>21</v>
      </c>
      <c r="AO113" s="21">
        <f>G113*0.152280071813285</f>
        <v>0</v>
      </c>
      <c r="AP113" s="21">
        <f>G113*(1-0.152280071813285)</f>
        <v>0</v>
      </c>
      <c r="AQ113" s="23" t="s">
        <v>51</v>
      </c>
      <c r="AV113" s="21">
        <f>AW113+AX113</f>
        <v>0</v>
      </c>
      <c r="AW113" s="21">
        <f>F113*AO113</f>
        <v>0</v>
      </c>
      <c r="AX113" s="21">
        <f>F113*AP113</f>
        <v>0</v>
      </c>
      <c r="AY113" s="23" t="s">
        <v>190</v>
      </c>
      <c r="AZ113" s="23" t="s">
        <v>137</v>
      </c>
      <c r="BA113" s="10" t="s">
        <v>58</v>
      </c>
      <c r="BC113" s="21">
        <f>AW113+AX113</f>
        <v>0</v>
      </c>
      <c r="BD113" s="21">
        <f>G113/(100-BE113)*100</f>
        <v>0</v>
      </c>
      <c r="BE113" s="21">
        <v>0</v>
      </c>
      <c r="BF113" s="21">
        <f>L113</f>
        <v>11.2328</v>
      </c>
      <c r="BH113" s="21">
        <f>F113*AO113</f>
        <v>0</v>
      </c>
      <c r="BI113" s="21">
        <f>F113*AP113</f>
        <v>0</v>
      </c>
      <c r="BJ113" s="21">
        <f>F113*G113</f>
        <v>0</v>
      </c>
      <c r="BK113" s="21" t="s">
        <v>59</v>
      </c>
      <c r="BL113" s="21">
        <v>59</v>
      </c>
    </row>
    <row r="114" spans="1:14" ht="15">
      <c r="A114" s="2"/>
      <c r="C114" s="24" t="s">
        <v>235</v>
      </c>
      <c r="D114" s="24"/>
      <c r="F114" s="25">
        <v>152</v>
      </c>
      <c r="M114" s="26"/>
      <c r="N114" s="2"/>
    </row>
    <row r="115" spans="1:14" ht="25.65" customHeight="1">
      <c r="A115" s="2"/>
      <c r="B115" s="27" t="s">
        <v>61</v>
      </c>
      <c r="C115" s="634" t="s">
        <v>236</v>
      </c>
      <c r="D115" s="635"/>
      <c r="E115" s="635"/>
      <c r="F115" s="635"/>
      <c r="G115" s="635"/>
      <c r="H115" s="635"/>
      <c r="I115" s="635"/>
      <c r="J115" s="635"/>
      <c r="K115" s="635"/>
      <c r="L115" s="635"/>
      <c r="M115" s="636"/>
      <c r="N115" s="2"/>
    </row>
    <row r="116" spans="1:64" ht="15">
      <c r="A116" s="20" t="s">
        <v>237</v>
      </c>
      <c r="B116" s="3" t="s">
        <v>238</v>
      </c>
      <c r="C116" s="618" t="s">
        <v>239</v>
      </c>
      <c r="D116" s="608"/>
      <c r="E116" s="3" t="s">
        <v>54</v>
      </c>
      <c r="F116" s="21">
        <v>157.71</v>
      </c>
      <c r="G116" s="537"/>
      <c r="H116" s="21">
        <f>F116*AO116</f>
        <v>0</v>
      </c>
      <c r="I116" s="21">
        <f>F116*AP116</f>
        <v>0</v>
      </c>
      <c r="J116" s="21">
        <f>F116*G116</f>
        <v>0</v>
      </c>
      <c r="K116" s="21">
        <v>0.131</v>
      </c>
      <c r="L116" s="21">
        <f>F116*K116</f>
        <v>20.660010000000003</v>
      </c>
      <c r="M116" s="22" t="s">
        <v>55</v>
      </c>
      <c r="N116" s="2"/>
      <c r="Z116" s="21">
        <f>IF(AQ116="5",BJ116,0)</f>
        <v>0</v>
      </c>
      <c r="AB116" s="21">
        <f>IF(AQ116="1",BH116,0)</f>
        <v>0</v>
      </c>
      <c r="AC116" s="21">
        <f>IF(AQ116="1",BI116,0)</f>
        <v>0</v>
      </c>
      <c r="AD116" s="21">
        <f>IF(AQ116="7",BH116,0)</f>
        <v>0</v>
      </c>
      <c r="AE116" s="21">
        <f>IF(AQ116="7",BI116,0)</f>
        <v>0</v>
      </c>
      <c r="AF116" s="21">
        <f>IF(AQ116="2",BH116,0)</f>
        <v>0</v>
      </c>
      <c r="AG116" s="21">
        <f>IF(AQ116="2",BI116,0)</f>
        <v>0</v>
      </c>
      <c r="AH116" s="21">
        <f>IF(AQ116="0",BJ116,0)</f>
        <v>0</v>
      </c>
      <c r="AI116" s="10"/>
      <c r="AJ116" s="21">
        <f>IF(AN116=0,J116,0)</f>
        <v>0</v>
      </c>
      <c r="AK116" s="21">
        <f>IF(AN116=15,J116,0)</f>
        <v>0</v>
      </c>
      <c r="AL116" s="21">
        <f>IF(AN116=21,J116,0)</f>
        <v>0</v>
      </c>
      <c r="AN116" s="21">
        <v>21</v>
      </c>
      <c r="AO116" s="21">
        <f>G116*1</f>
        <v>0</v>
      </c>
      <c r="AP116" s="21">
        <f>G116*(1-1)</f>
        <v>0</v>
      </c>
      <c r="AQ116" s="23" t="s">
        <v>51</v>
      </c>
      <c r="AV116" s="21">
        <f>AW116+AX116</f>
        <v>0</v>
      </c>
      <c r="AW116" s="21">
        <f>F116*AO116</f>
        <v>0</v>
      </c>
      <c r="AX116" s="21">
        <f>F116*AP116</f>
        <v>0</v>
      </c>
      <c r="AY116" s="23" t="s">
        <v>190</v>
      </c>
      <c r="AZ116" s="23" t="s">
        <v>137</v>
      </c>
      <c r="BA116" s="10" t="s">
        <v>58</v>
      </c>
      <c r="BC116" s="21">
        <f>AW116+AX116</f>
        <v>0</v>
      </c>
      <c r="BD116" s="21">
        <f>G116/(100-BE116)*100</f>
        <v>0</v>
      </c>
      <c r="BE116" s="21">
        <v>0</v>
      </c>
      <c r="BF116" s="21">
        <f>L116</f>
        <v>20.660010000000003</v>
      </c>
      <c r="BH116" s="21">
        <f>F116*AO116</f>
        <v>0</v>
      </c>
      <c r="BI116" s="21">
        <f>F116*AP116</f>
        <v>0</v>
      </c>
      <c r="BJ116" s="21">
        <f>F116*G116</f>
        <v>0</v>
      </c>
      <c r="BK116" s="21" t="s">
        <v>201</v>
      </c>
      <c r="BL116" s="21">
        <v>59</v>
      </c>
    </row>
    <row r="117" spans="1:14" ht="15">
      <c r="A117" s="2"/>
      <c r="C117" s="24" t="s">
        <v>240</v>
      </c>
      <c r="D117" s="24"/>
      <c r="F117" s="25">
        <v>150.2</v>
      </c>
      <c r="M117" s="26"/>
      <c r="N117" s="2"/>
    </row>
    <row r="118" spans="1:14" ht="15">
      <c r="A118" s="2"/>
      <c r="C118" s="24" t="s">
        <v>241</v>
      </c>
      <c r="D118" s="24"/>
      <c r="F118" s="25">
        <v>7.51</v>
      </c>
      <c r="M118" s="26"/>
      <c r="N118" s="2"/>
    </row>
    <row r="119" spans="1:14" ht="15">
      <c r="A119" s="2"/>
      <c r="B119" s="27" t="s">
        <v>61</v>
      </c>
      <c r="C119" s="634" t="s">
        <v>242</v>
      </c>
      <c r="D119" s="635"/>
      <c r="E119" s="635"/>
      <c r="F119" s="635"/>
      <c r="G119" s="635"/>
      <c r="H119" s="635"/>
      <c r="I119" s="635"/>
      <c r="J119" s="635"/>
      <c r="K119" s="635"/>
      <c r="L119" s="635"/>
      <c r="M119" s="636"/>
      <c r="N119" s="2"/>
    </row>
    <row r="120" spans="1:64" ht="15">
      <c r="A120" s="20" t="s">
        <v>243</v>
      </c>
      <c r="B120" s="3" t="s">
        <v>244</v>
      </c>
      <c r="C120" s="618" t="s">
        <v>245</v>
      </c>
      <c r="D120" s="608"/>
      <c r="E120" s="3" t="s">
        <v>54</v>
      </c>
      <c r="F120" s="21">
        <v>1.89</v>
      </c>
      <c r="G120" s="537"/>
      <c r="H120" s="21">
        <f>F120*AO120</f>
        <v>0</v>
      </c>
      <c r="I120" s="21">
        <f>F120*AP120</f>
        <v>0</v>
      </c>
      <c r="J120" s="21">
        <f>F120*G120</f>
        <v>0</v>
      </c>
      <c r="K120" s="21">
        <v>0.141</v>
      </c>
      <c r="L120" s="21">
        <f>F120*K120</f>
        <v>0.26648999999999995</v>
      </c>
      <c r="M120" s="22" t="s">
        <v>55</v>
      </c>
      <c r="N120" s="2"/>
      <c r="Z120" s="21">
        <f>IF(AQ120="5",BJ120,0)</f>
        <v>0</v>
      </c>
      <c r="AB120" s="21">
        <f>IF(AQ120="1",BH120,0)</f>
        <v>0</v>
      </c>
      <c r="AC120" s="21">
        <f>IF(AQ120="1",BI120,0)</f>
        <v>0</v>
      </c>
      <c r="AD120" s="21">
        <f>IF(AQ120="7",BH120,0)</f>
        <v>0</v>
      </c>
      <c r="AE120" s="21">
        <f>IF(AQ120="7",BI120,0)</f>
        <v>0</v>
      </c>
      <c r="AF120" s="21">
        <f>IF(AQ120="2",BH120,0)</f>
        <v>0</v>
      </c>
      <c r="AG120" s="21">
        <f>IF(AQ120="2",BI120,0)</f>
        <v>0</v>
      </c>
      <c r="AH120" s="21">
        <f>IF(AQ120="0",BJ120,0)</f>
        <v>0</v>
      </c>
      <c r="AI120" s="10"/>
      <c r="AJ120" s="21">
        <f>IF(AN120=0,J120,0)</f>
        <v>0</v>
      </c>
      <c r="AK120" s="21">
        <f>IF(AN120=15,J120,0)</f>
        <v>0</v>
      </c>
      <c r="AL120" s="21">
        <f>IF(AN120=21,J120,0)</f>
        <v>0</v>
      </c>
      <c r="AN120" s="21">
        <v>21</v>
      </c>
      <c r="AO120" s="21">
        <f>G120*1</f>
        <v>0</v>
      </c>
      <c r="AP120" s="21">
        <f>G120*(1-1)</f>
        <v>0</v>
      </c>
      <c r="AQ120" s="23" t="s">
        <v>51</v>
      </c>
      <c r="AV120" s="21">
        <f>AW120+AX120</f>
        <v>0</v>
      </c>
      <c r="AW120" s="21">
        <f>F120*AO120</f>
        <v>0</v>
      </c>
      <c r="AX120" s="21">
        <f>F120*AP120</f>
        <v>0</v>
      </c>
      <c r="AY120" s="23" t="s">
        <v>190</v>
      </c>
      <c r="AZ120" s="23" t="s">
        <v>137</v>
      </c>
      <c r="BA120" s="10" t="s">
        <v>58</v>
      </c>
      <c r="BC120" s="21">
        <f>AW120+AX120</f>
        <v>0</v>
      </c>
      <c r="BD120" s="21">
        <f>G120/(100-BE120)*100</f>
        <v>0</v>
      </c>
      <c r="BE120" s="21">
        <v>0</v>
      </c>
      <c r="BF120" s="21">
        <f>L120</f>
        <v>0.26648999999999995</v>
      </c>
      <c r="BH120" s="21">
        <f>F120*AO120</f>
        <v>0</v>
      </c>
      <c r="BI120" s="21">
        <f>F120*AP120</f>
        <v>0</v>
      </c>
      <c r="BJ120" s="21">
        <f>F120*G120</f>
        <v>0</v>
      </c>
      <c r="BK120" s="21" t="s">
        <v>201</v>
      </c>
      <c r="BL120" s="21">
        <v>59</v>
      </c>
    </row>
    <row r="121" spans="1:14" ht="15">
      <c r="A121" s="2"/>
      <c r="C121" s="24" t="s">
        <v>246</v>
      </c>
      <c r="D121" s="24"/>
      <c r="F121" s="25">
        <v>1.8</v>
      </c>
      <c r="M121" s="26"/>
      <c r="N121" s="2"/>
    </row>
    <row r="122" spans="1:14" ht="15">
      <c r="A122" s="2"/>
      <c r="C122" s="24" t="s">
        <v>247</v>
      </c>
      <c r="D122" s="24"/>
      <c r="F122" s="25">
        <v>0.09</v>
      </c>
      <c r="M122" s="26"/>
      <c r="N122" s="2"/>
    </row>
    <row r="123" spans="1:64" ht="15">
      <c r="A123" s="20" t="s">
        <v>144</v>
      </c>
      <c r="B123" s="3" t="s">
        <v>248</v>
      </c>
      <c r="C123" s="618" t="s">
        <v>249</v>
      </c>
      <c r="D123" s="608"/>
      <c r="E123" s="3" t="s">
        <v>54</v>
      </c>
      <c r="F123" s="21">
        <v>1.8</v>
      </c>
      <c r="G123" s="537"/>
      <c r="H123" s="21">
        <f>F123*AO123</f>
        <v>0</v>
      </c>
      <c r="I123" s="21">
        <f>F123*AP123</f>
        <v>0</v>
      </c>
      <c r="J123" s="21">
        <f>F123*G123</f>
        <v>0</v>
      </c>
      <c r="K123" s="21">
        <v>0</v>
      </c>
      <c r="L123" s="21">
        <f>F123*K123</f>
        <v>0</v>
      </c>
      <c r="M123" s="22" t="s">
        <v>55</v>
      </c>
      <c r="N123" s="2"/>
      <c r="Z123" s="21">
        <f>IF(AQ123="5",BJ123,0)</f>
        <v>0</v>
      </c>
      <c r="AB123" s="21">
        <f>IF(AQ123="1",BH123,0)</f>
        <v>0</v>
      </c>
      <c r="AC123" s="21">
        <f>IF(AQ123="1",BI123,0)</f>
        <v>0</v>
      </c>
      <c r="AD123" s="21">
        <f>IF(AQ123="7",BH123,0)</f>
        <v>0</v>
      </c>
      <c r="AE123" s="21">
        <f>IF(AQ123="7",BI123,0)</f>
        <v>0</v>
      </c>
      <c r="AF123" s="21">
        <f>IF(AQ123="2",BH123,0)</f>
        <v>0</v>
      </c>
      <c r="AG123" s="21">
        <f>IF(AQ123="2",BI123,0)</f>
        <v>0</v>
      </c>
      <c r="AH123" s="21">
        <f>IF(AQ123="0",BJ123,0)</f>
        <v>0</v>
      </c>
      <c r="AI123" s="10"/>
      <c r="AJ123" s="21">
        <f>IF(AN123=0,J123,0)</f>
        <v>0</v>
      </c>
      <c r="AK123" s="21">
        <f>IF(AN123=15,J123,0)</f>
        <v>0</v>
      </c>
      <c r="AL123" s="21">
        <f>IF(AN123=21,J123,0)</f>
        <v>0</v>
      </c>
      <c r="AN123" s="21">
        <v>21</v>
      </c>
      <c r="AO123" s="21">
        <f>G123*0</f>
        <v>0</v>
      </c>
      <c r="AP123" s="21">
        <f>G123*(1-0)</f>
        <v>0</v>
      </c>
      <c r="AQ123" s="23" t="s">
        <v>51</v>
      </c>
      <c r="AV123" s="21">
        <f>AW123+AX123</f>
        <v>0</v>
      </c>
      <c r="AW123" s="21">
        <f>F123*AO123</f>
        <v>0</v>
      </c>
      <c r="AX123" s="21">
        <f>F123*AP123</f>
        <v>0</v>
      </c>
      <c r="AY123" s="23" t="s">
        <v>190</v>
      </c>
      <c r="AZ123" s="23" t="s">
        <v>137</v>
      </c>
      <c r="BA123" s="10" t="s">
        <v>58</v>
      </c>
      <c r="BC123" s="21">
        <f>AW123+AX123</f>
        <v>0</v>
      </c>
      <c r="BD123" s="21">
        <f>G123/(100-BE123)*100</f>
        <v>0</v>
      </c>
      <c r="BE123" s="21">
        <v>0</v>
      </c>
      <c r="BF123" s="21">
        <f>L123</f>
        <v>0</v>
      </c>
      <c r="BH123" s="21">
        <f>F123*AO123</f>
        <v>0</v>
      </c>
      <c r="BI123" s="21">
        <f>F123*AP123</f>
        <v>0</v>
      </c>
      <c r="BJ123" s="21">
        <f>F123*G123</f>
        <v>0</v>
      </c>
      <c r="BK123" s="21" t="s">
        <v>59</v>
      </c>
      <c r="BL123" s="21">
        <v>59</v>
      </c>
    </row>
    <row r="124" spans="1:14" ht="15">
      <c r="A124" s="2"/>
      <c r="C124" s="24" t="s">
        <v>246</v>
      </c>
      <c r="D124" s="24"/>
      <c r="F124" s="25">
        <v>1.8</v>
      </c>
      <c r="M124" s="26"/>
      <c r="N124" s="2"/>
    </row>
    <row r="125" spans="1:14" ht="15">
      <c r="A125" s="2"/>
      <c r="B125" s="27" t="s">
        <v>61</v>
      </c>
      <c r="C125" s="634" t="s">
        <v>225</v>
      </c>
      <c r="D125" s="635"/>
      <c r="E125" s="635"/>
      <c r="F125" s="635"/>
      <c r="G125" s="635"/>
      <c r="H125" s="635"/>
      <c r="I125" s="635"/>
      <c r="J125" s="635"/>
      <c r="K125" s="635"/>
      <c r="L125" s="635"/>
      <c r="M125" s="636"/>
      <c r="N125" s="2"/>
    </row>
    <row r="126" spans="1:64" ht="15">
      <c r="A126" s="20" t="s">
        <v>250</v>
      </c>
      <c r="B126" s="3" t="s">
        <v>251</v>
      </c>
      <c r="C126" s="618" t="s">
        <v>252</v>
      </c>
      <c r="D126" s="608"/>
      <c r="E126" s="3" t="s">
        <v>54</v>
      </c>
      <c r="F126" s="21">
        <v>1.8</v>
      </c>
      <c r="G126" s="537"/>
      <c r="H126" s="21">
        <f>F126*AO126</f>
        <v>0</v>
      </c>
      <c r="I126" s="21">
        <f>F126*AP126</f>
        <v>0</v>
      </c>
      <c r="J126" s="21">
        <f>F126*G126</f>
        <v>0</v>
      </c>
      <c r="K126" s="21">
        <v>0</v>
      </c>
      <c r="L126" s="21">
        <f>F126*K126</f>
        <v>0</v>
      </c>
      <c r="M126" s="22" t="s">
        <v>55</v>
      </c>
      <c r="N126" s="2"/>
      <c r="Z126" s="21">
        <f>IF(AQ126="5",BJ126,0)</f>
        <v>0</v>
      </c>
      <c r="AB126" s="21">
        <f>IF(AQ126="1",BH126,0)</f>
        <v>0</v>
      </c>
      <c r="AC126" s="21">
        <f>IF(AQ126="1",BI126,0)</f>
        <v>0</v>
      </c>
      <c r="AD126" s="21">
        <f>IF(AQ126="7",BH126,0)</f>
        <v>0</v>
      </c>
      <c r="AE126" s="21">
        <f>IF(AQ126="7",BI126,0)</f>
        <v>0</v>
      </c>
      <c r="AF126" s="21">
        <f>IF(AQ126="2",BH126,0)</f>
        <v>0</v>
      </c>
      <c r="AG126" s="21">
        <f>IF(AQ126="2",BI126,0)</f>
        <v>0</v>
      </c>
      <c r="AH126" s="21">
        <f>IF(AQ126="0",BJ126,0)</f>
        <v>0</v>
      </c>
      <c r="AI126" s="10"/>
      <c r="AJ126" s="21">
        <f>IF(AN126=0,J126,0)</f>
        <v>0</v>
      </c>
      <c r="AK126" s="21">
        <f>IF(AN126=15,J126,0)</f>
        <v>0</v>
      </c>
      <c r="AL126" s="21">
        <f>IF(AN126=21,J126,0)</f>
        <v>0</v>
      </c>
      <c r="AN126" s="21">
        <v>21</v>
      </c>
      <c r="AO126" s="21">
        <f>G126*0</f>
        <v>0</v>
      </c>
      <c r="AP126" s="21">
        <f>G126*(1-0)</f>
        <v>0</v>
      </c>
      <c r="AQ126" s="23" t="s">
        <v>51</v>
      </c>
      <c r="AV126" s="21">
        <f>AW126+AX126</f>
        <v>0</v>
      </c>
      <c r="AW126" s="21">
        <f>F126*AO126</f>
        <v>0</v>
      </c>
      <c r="AX126" s="21">
        <f>F126*AP126</f>
        <v>0</v>
      </c>
      <c r="AY126" s="23" t="s">
        <v>190</v>
      </c>
      <c r="AZ126" s="23" t="s">
        <v>137</v>
      </c>
      <c r="BA126" s="10" t="s">
        <v>58</v>
      </c>
      <c r="BC126" s="21">
        <f>AW126+AX126</f>
        <v>0</v>
      </c>
      <c r="BD126" s="21">
        <f>G126/(100-BE126)*100</f>
        <v>0</v>
      </c>
      <c r="BE126" s="21">
        <v>0</v>
      </c>
      <c r="BF126" s="21">
        <f>L126</f>
        <v>0</v>
      </c>
      <c r="BH126" s="21">
        <f>F126*AO126</f>
        <v>0</v>
      </c>
      <c r="BI126" s="21">
        <f>F126*AP126</f>
        <v>0</v>
      </c>
      <c r="BJ126" s="21">
        <f>F126*G126</f>
        <v>0</v>
      </c>
      <c r="BK126" s="21" t="s">
        <v>59</v>
      </c>
      <c r="BL126" s="21">
        <v>59</v>
      </c>
    </row>
    <row r="127" spans="1:14" ht="15">
      <c r="A127" s="2"/>
      <c r="C127" s="24" t="s">
        <v>246</v>
      </c>
      <c r="D127" s="24"/>
      <c r="F127" s="25">
        <v>1.8</v>
      </c>
      <c r="M127" s="26"/>
      <c r="N127" s="2"/>
    </row>
    <row r="128" spans="1:14" ht="15">
      <c r="A128" s="2"/>
      <c r="B128" s="27" t="s">
        <v>61</v>
      </c>
      <c r="C128" s="634" t="s">
        <v>225</v>
      </c>
      <c r="D128" s="635"/>
      <c r="E128" s="635"/>
      <c r="F128" s="635"/>
      <c r="G128" s="635"/>
      <c r="H128" s="635"/>
      <c r="I128" s="635"/>
      <c r="J128" s="635"/>
      <c r="K128" s="635"/>
      <c r="L128" s="635"/>
      <c r="M128" s="636"/>
      <c r="N128" s="2"/>
    </row>
    <row r="129" spans="1:64" ht="15">
      <c r="A129" s="20" t="s">
        <v>253</v>
      </c>
      <c r="B129" s="3" t="s">
        <v>254</v>
      </c>
      <c r="C129" s="618" t="s">
        <v>255</v>
      </c>
      <c r="D129" s="608"/>
      <c r="E129" s="3" t="s">
        <v>74</v>
      </c>
      <c r="F129" s="21">
        <v>105</v>
      </c>
      <c r="G129" s="537"/>
      <c r="H129" s="21">
        <f>F129*AO129</f>
        <v>0</v>
      </c>
      <c r="I129" s="21">
        <f>F129*AP129</f>
        <v>0</v>
      </c>
      <c r="J129" s="21">
        <f>F129*G129</f>
        <v>0</v>
      </c>
      <c r="K129" s="21">
        <v>0.00033</v>
      </c>
      <c r="L129" s="21">
        <f>F129*K129</f>
        <v>0.03465</v>
      </c>
      <c r="M129" s="22" t="s">
        <v>55</v>
      </c>
      <c r="N129" s="2"/>
      <c r="Z129" s="21">
        <f>IF(AQ129="5",BJ129,0)</f>
        <v>0</v>
      </c>
      <c r="AB129" s="21">
        <f>IF(AQ129="1",BH129,0)</f>
        <v>0</v>
      </c>
      <c r="AC129" s="21">
        <f>IF(AQ129="1",BI129,0)</f>
        <v>0</v>
      </c>
      <c r="AD129" s="21">
        <f>IF(AQ129="7",BH129,0)</f>
        <v>0</v>
      </c>
      <c r="AE129" s="21">
        <f>IF(AQ129="7",BI129,0)</f>
        <v>0</v>
      </c>
      <c r="AF129" s="21">
        <f>IF(AQ129="2",BH129,0)</f>
        <v>0</v>
      </c>
      <c r="AG129" s="21">
        <f>IF(AQ129="2",BI129,0)</f>
        <v>0</v>
      </c>
      <c r="AH129" s="21">
        <f>IF(AQ129="0",BJ129,0)</f>
        <v>0</v>
      </c>
      <c r="AI129" s="10"/>
      <c r="AJ129" s="21">
        <f>IF(AN129=0,J129,0)</f>
        <v>0</v>
      </c>
      <c r="AK129" s="21">
        <f>IF(AN129=15,J129,0)</f>
        <v>0</v>
      </c>
      <c r="AL129" s="21">
        <f>IF(AN129=21,J129,0)</f>
        <v>0</v>
      </c>
      <c r="AN129" s="21">
        <v>21</v>
      </c>
      <c r="AO129" s="21">
        <f>G129*0.0594343434343434</f>
        <v>0</v>
      </c>
      <c r="AP129" s="21">
        <f>G129*(1-0.0594343434343434)</f>
        <v>0</v>
      </c>
      <c r="AQ129" s="23" t="s">
        <v>51</v>
      </c>
      <c r="AV129" s="21">
        <f>AW129+AX129</f>
        <v>0</v>
      </c>
      <c r="AW129" s="21">
        <f>F129*AO129</f>
        <v>0</v>
      </c>
      <c r="AX129" s="21">
        <f>F129*AP129</f>
        <v>0</v>
      </c>
      <c r="AY129" s="23" t="s">
        <v>190</v>
      </c>
      <c r="AZ129" s="23" t="s">
        <v>137</v>
      </c>
      <c r="BA129" s="10" t="s">
        <v>58</v>
      </c>
      <c r="BC129" s="21">
        <f>AW129+AX129</f>
        <v>0</v>
      </c>
      <c r="BD129" s="21">
        <f>G129/(100-BE129)*100</f>
        <v>0</v>
      </c>
      <c r="BE129" s="21">
        <v>0</v>
      </c>
      <c r="BF129" s="21">
        <f>L129</f>
        <v>0.03465</v>
      </c>
      <c r="BH129" s="21">
        <f>F129*AO129</f>
        <v>0</v>
      </c>
      <c r="BI129" s="21">
        <f>F129*AP129</f>
        <v>0</v>
      </c>
      <c r="BJ129" s="21">
        <f>F129*G129</f>
        <v>0</v>
      </c>
      <c r="BK129" s="21" t="s">
        <v>59</v>
      </c>
      <c r="BL129" s="21">
        <v>59</v>
      </c>
    </row>
    <row r="130" spans="1:14" ht="15">
      <c r="A130" s="2"/>
      <c r="C130" s="24" t="s">
        <v>256</v>
      </c>
      <c r="D130" s="24"/>
      <c r="F130" s="25">
        <v>105</v>
      </c>
      <c r="M130" s="26"/>
      <c r="N130" s="2"/>
    </row>
    <row r="131" spans="1:64" ht="15">
      <c r="A131" s="20" t="s">
        <v>257</v>
      </c>
      <c r="B131" s="3" t="s">
        <v>258</v>
      </c>
      <c r="C131" s="618" t="s">
        <v>259</v>
      </c>
      <c r="D131" s="608"/>
      <c r="E131" s="3" t="s">
        <v>260</v>
      </c>
      <c r="F131" s="21">
        <v>7</v>
      </c>
      <c r="G131" s="537"/>
      <c r="H131" s="21">
        <f>F131*AO131</f>
        <v>0</v>
      </c>
      <c r="I131" s="21">
        <f>F131*AP131</f>
        <v>0</v>
      </c>
      <c r="J131" s="21">
        <f>F131*G131</f>
        <v>0</v>
      </c>
      <c r="K131" s="21">
        <v>0.23396</v>
      </c>
      <c r="L131" s="21">
        <f>F131*K131</f>
        <v>1.63772</v>
      </c>
      <c r="M131" s="22" t="s">
        <v>55</v>
      </c>
      <c r="N131" s="2"/>
      <c r="Z131" s="21">
        <f>IF(AQ131="5",BJ131,0)</f>
        <v>0</v>
      </c>
      <c r="AB131" s="21">
        <f>IF(AQ131="1",BH131,0)</f>
        <v>0</v>
      </c>
      <c r="AC131" s="21">
        <f>IF(AQ131="1",BI131,0)</f>
        <v>0</v>
      </c>
      <c r="AD131" s="21">
        <f>IF(AQ131="7",BH131,0)</f>
        <v>0</v>
      </c>
      <c r="AE131" s="21">
        <f>IF(AQ131="7",BI131,0)</f>
        <v>0</v>
      </c>
      <c r="AF131" s="21">
        <f>IF(AQ131="2",BH131,0)</f>
        <v>0</v>
      </c>
      <c r="AG131" s="21">
        <f>IF(AQ131="2",BI131,0)</f>
        <v>0</v>
      </c>
      <c r="AH131" s="21">
        <f>IF(AQ131="0",BJ131,0)</f>
        <v>0</v>
      </c>
      <c r="AI131" s="10"/>
      <c r="AJ131" s="21">
        <f>IF(AN131=0,J131,0)</f>
        <v>0</v>
      </c>
      <c r="AK131" s="21">
        <f>IF(AN131=15,J131,0)</f>
        <v>0</v>
      </c>
      <c r="AL131" s="21">
        <f>IF(AN131=21,J131,0)</f>
        <v>0</v>
      </c>
      <c r="AN131" s="21">
        <v>21</v>
      </c>
      <c r="AO131" s="21">
        <f>G131*0.961906060606061</f>
        <v>0</v>
      </c>
      <c r="AP131" s="21">
        <f>G131*(1-0.961906060606061)</f>
        <v>0</v>
      </c>
      <c r="AQ131" s="23" t="s">
        <v>51</v>
      </c>
      <c r="AV131" s="21">
        <f>AW131+AX131</f>
        <v>0</v>
      </c>
      <c r="AW131" s="21">
        <f>F131*AO131</f>
        <v>0</v>
      </c>
      <c r="AX131" s="21">
        <f>F131*AP131</f>
        <v>0</v>
      </c>
      <c r="AY131" s="23" t="s">
        <v>190</v>
      </c>
      <c r="AZ131" s="23" t="s">
        <v>137</v>
      </c>
      <c r="BA131" s="10" t="s">
        <v>58</v>
      </c>
      <c r="BC131" s="21">
        <f>AW131+AX131</f>
        <v>0</v>
      </c>
      <c r="BD131" s="21">
        <f>G131/(100-BE131)*100</f>
        <v>0</v>
      </c>
      <c r="BE131" s="21">
        <v>0</v>
      </c>
      <c r="BF131" s="21">
        <f>L131</f>
        <v>1.63772</v>
      </c>
      <c r="BH131" s="21">
        <f>F131*AO131</f>
        <v>0</v>
      </c>
      <c r="BI131" s="21">
        <f>F131*AP131</f>
        <v>0</v>
      </c>
      <c r="BJ131" s="21">
        <f>F131*G131</f>
        <v>0</v>
      </c>
      <c r="BK131" s="21" t="s">
        <v>59</v>
      </c>
      <c r="BL131" s="21">
        <v>59</v>
      </c>
    </row>
    <row r="132" spans="1:14" ht="15">
      <c r="A132" s="2"/>
      <c r="C132" s="24" t="s">
        <v>89</v>
      </c>
      <c r="D132" s="24"/>
      <c r="F132" s="25">
        <v>7</v>
      </c>
      <c r="M132" s="26"/>
      <c r="N132" s="2"/>
    </row>
    <row r="133" spans="1:14" ht="25.65" customHeight="1">
      <c r="A133" s="2"/>
      <c r="B133" s="27" t="s">
        <v>61</v>
      </c>
      <c r="C133" s="634" t="s">
        <v>261</v>
      </c>
      <c r="D133" s="635"/>
      <c r="E133" s="635"/>
      <c r="F133" s="635"/>
      <c r="G133" s="635"/>
      <c r="H133" s="635"/>
      <c r="I133" s="635"/>
      <c r="J133" s="635"/>
      <c r="K133" s="635"/>
      <c r="L133" s="635"/>
      <c r="M133" s="636"/>
      <c r="N133" s="2"/>
    </row>
    <row r="134" spans="1:64" ht="15">
      <c r="A134" s="20" t="s">
        <v>262</v>
      </c>
      <c r="B134" s="3" t="s">
        <v>263</v>
      </c>
      <c r="C134" s="618" t="s">
        <v>264</v>
      </c>
      <c r="D134" s="608"/>
      <c r="E134" s="3" t="s">
        <v>74</v>
      </c>
      <c r="F134" s="21">
        <v>7</v>
      </c>
      <c r="G134" s="537"/>
      <c r="H134" s="21">
        <f>F134*AO134</f>
        <v>0</v>
      </c>
      <c r="I134" s="21">
        <f>F134*AP134</f>
        <v>0</v>
      </c>
      <c r="J134" s="21">
        <f>F134*G134</f>
        <v>0</v>
      </c>
      <c r="K134" s="21">
        <v>0.2082</v>
      </c>
      <c r="L134" s="21">
        <f>F134*K134</f>
        <v>1.4574</v>
      </c>
      <c r="M134" s="22" t="s">
        <v>55</v>
      </c>
      <c r="N134" s="2"/>
      <c r="Z134" s="21">
        <f>IF(AQ134="5",BJ134,0)</f>
        <v>0</v>
      </c>
      <c r="AB134" s="21">
        <f>IF(AQ134="1",BH134,0)</f>
        <v>0</v>
      </c>
      <c r="AC134" s="21">
        <f>IF(AQ134="1",BI134,0)</f>
        <v>0</v>
      </c>
      <c r="AD134" s="21">
        <f>IF(AQ134="7",BH134,0)</f>
        <v>0</v>
      </c>
      <c r="AE134" s="21">
        <f>IF(AQ134="7",BI134,0)</f>
        <v>0</v>
      </c>
      <c r="AF134" s="21">
        <f>IF(AQ134="2",BH134,0)</f>
        <v>0</v>
      </c>
      <c r="AG134" s="21">
        <f>IF(AQ134="2",BI134,0)</f>
        <v>0</v>
      </c>
      <c r="AH134" s="21">
        <f>IF(AQ134="0",BJ134,0)</f>
        <v>0</v>
      </c>
      <c r="AI134" s="10"/>
      <c r="AJ134" s="21">
        <f>IF(AN134=0,J134,0)</f>
        <v>0</v>
      </c>
      <c r="AK134" s="21">
        <f>IF(AN134=15,J134,0)</f>
        <v>0</v>
      </c>
      <c r="AL134" s="21">
        <f>IF(AN134=21,J134,0)</f>
        <v>0</v>
      </c>
      <c r="AN134" s="21">
        <v>21</v>
      </c>
      <c r="AO134" s="21">
        <f>G134*0.998678414096916</f>
        <v>0</v>
      </c>
      <c r="AP134" s="21">
        <f>G134*(1-0.998678414096916)</f>
        <v>0</v>
      </c>
      <c r="AQ134" s="23" t="s">
        <v>51</v>
      </c>
      <c r="AV134" s="21">
        <f>AW134+AX134</f>
        <v>0</v>
      </c>
      <c r="AW134" s="21">
        <f>F134*AO134</f>
        <v>0</v>
      </c>
      <c r="AX134" s="21">
        <f>F134*AP134</f>
        <v>0</v>
      </c>
      <c r="AY134" s="23" t="s">
        <v>190</v>
      </c>
      <c r="AZ134" s="23" t="s">
        <v>137</v>
      </c>
      <c r="BA134" s="10" t="s">
        <v>58</v>
      </c>
      <c r="BC134" s="21">
        <f>AW134+AX134</f>
        <v>0</v>
      </c>
      <c r="BD134" s="21">
        <f>G134/(100-BE134)*100</f>
        <v>0</v>
      </c>
      <c r="BE134" s="21">
        <v>0</v>
      </c>
      <c r="BF134" s="21">
        <f>L134</f>
        <v>1.4574</v>
      </c>
      <c r="BH134" s="21">
        <f>F134*AO134</f>
        <v>0</v>
      </c>
      <c r="BI134" s="21">
        <f>F134*AP134</f>
        <v>0</v>
      </c>
      <c r="BJ134" s="21">
        <f>F134*G134</f>
        <v>0</v>
      </c>
      <c r="BK134" s="21" t="s">
        <v>59</v>
      </c>
      <c r="BL134" s="21">
        <v>59</v>
      </c>
    </row>
    <row r="135" spans="1:14" ht="15">
      <c r="A135" s="2"/>
      <c r="C135" s="24" t="s">
        <v>89</v>
      </c>
      <c r="D135" s="24"/>
      <c r="F135" s="25">
        <v>7</v>
      </c>
      <c r="M135" s="26"/>
      <c r="N135" s="2"/>
    </row>
    <row r="136" spans="1:14" ht="15">
      <c r="A136" s="2"/>
      <c r="B136" s="27" t="s">
        <v>61</v>
      </c>
      <c r="C136" s="634" t="s">
        <v>265</v>
      </c>
      <c r="D136" s="635"/>
      <c r="E136" s="635"/>
      <c r="F136" s="635"/>
      <c r="G136" s="635"/>
      <c r="H136" s="635"/>
      <c r="I136" s="635"/>
      <c r="J136" s="635"/>
      <c r="K136" s="635"/>
      <c r="L136" s="635"/>
      <c r="M136" s="636"/>
      <c r="N136" s="2"/>
    </row>
    <row r="137" spans="1:64" ht="15">
      <c r="A137" s="20" t="s">
        <v>266</v>
      </c>
      <c r="B137" s="3" t="s">
        <v>267</v>
      </c>
      <c r="C137" s="618" t="s">
        <v>268</v>
      </c>
      <c r="D137" s="608"/>
      <c r="E137" s="3" t="s">
        <v>260</v>
      </c>
      <c r="F137" s="21">
        <v>1</v>
      </c>
      <c r="G137" s="537"/>
      <c r="H137" s="21">
        <f>F137*AO137</f>
        <v>0</v>
      </c>
      <c r="I137" s="21">
        <f>F137*AP137</f>
        <v>0</v>
      </c>
      <c r="J137" s="21">
        <f>F137*G137</f>
        <v>0</v>
      </c>
      <c r="K137" s="21">
        <v>0.00058</v>
      </c>
      <c r="L137" s="21">
        <f>F137*K137</f>
        <v>0.00058</v>
      </c>
      <c r="M137" s="22" t="s">
        <v>55</v>
      </c>
      <c r="N137" s="2"/>
      <c r="Z137" s="21">
        <f>IF(AQ137="5",BJ137,0)</f>
        <v>0</v>
      </c>
      <c r="AB137" s="21">
        <f>IF(AQ137="1",BH137,0)</f>
        <v>0</v>
      </c>
      <c r="AC137" s="21">
        <f>IF(AQ137="1",BI137,0)</f>
        <v>0</v>
      </c>
      <c r="AD137" s="21">
        <f>IF(AQ137="7",BH137,0)</f>
        <v>0</v>
      </c>
      <c r="AE137" s="21">
        <f>IF(AQ137="7",BI137,0)</f>
        <v>0</v>
      </c>
      <c r="AF137" s="21">
        <f>IF(AQ137="2",BH137,0)</f>
        <v>0</v>
      </c>
      <c r="AG137" s="21">
        <f>IF(AQ137="2",BI137,0)</f>
        <v>0</v>
      </c>
      <c r="AH137" s="21">
        <f>IF(AQ137="0",BJ137,0)</f>
        <v>0</v>
      </c>
      <c r="AI137" s="10"/>
      <c r="AJ137" s="21">
        <f>IF(AN137=0,J137,0)</f>
        <v>0</v>
      </c>
      <c r="AK137" s="21">
        <f>IF(AN137=15,J137,0)</f>
        <v>0</v>
      </c>
      <c r="AL137" s="21">
        <f>IF(AN137=21,J137,0)</f>
        <v>0</v>
      </c>
      <c r="AN137" s="21">
        <v>21</v>
      </c>
      <c r="AO137" s="21">
        <f>G137*0.940471244584248</f>
        <v>0</v>
      </c>
      <c r="AP137" s="21">
        <f>G137*(1-0.940471244584248)</f>
        <v>0</v>
      </c>
      <c r="AQ137" s="23" t="s">
        <v>51</v>
      </c>
      <c r="AV137" s="21">
        <f>AW137+AX137</f>
        <v>0</v>
      </c>
      <c r="AW137" s="21">
        <f>F137*AO137</f>
        <v>0</v>
      </c>
      <c r="AX137" s="21">
        <f>F137*AP137</f>
        <v>0</v>
      </c>
      <c r="AY137" s="23" t="s">
        <v>190</v>
      </c>
      <c r="AZ137" s="23" t="s">
        <v>137</v>
      </c>
      <c r="BA137" s="10" t="s">
        <v>58</v>
      </c>
      <c r="BC137" s="21">
        <f>AW137+AX137</f>
        <v>0</v>
      </c>
      <c r="BD137" s="21">
        <f>G137/(100-BE137)*100</f>
        <v>0</v>
      </c>
      <c r="BE137" s="21">
        <v>0</v>
      </c>
      <c r="BF137" s="21">
        <f>L137</f>
        <v>0.00058</v>
      </c>
      <c r="BH137" s="21">
        <f>F137*AO137</f>
        <v>0</v>
      </c>
      <c r="BI137" s="21">
        <f>F137*AP137</f>
        <v>0</v>
      </c>
      <c r="BJ137" s="21">
        <f>F137*G137</f>
        <v>0</v>
      </c>
      <c r="BK137" s="21" t="s">
        <v>59</v>
      </c>
      <c r="BL137" s="21">
        <v>59</v>
      </c>
    </row>
    <row r="138" spans="1:14" ht="15">
      <c r="A138" s="2"/>
      <c r="C138" s="24" t="s">
        <v>51</v>
      </c>
      <c r="D138" s="24"/>
      <c r="F138" s="25">
        <v>1</v>
      </c>
      <c r="M138" s="26"/>
      <c r="N138" s="2"/>
    </row>
    <row r="139" spans="1:14" ht="15">
      <c r="A139" s="2"/>
      <c r="B139" s="27" t="s">
        <v>61</v>
      </c>
      <c r="C139" s="634" t="s">
        <v>269</v>
      </c>
      <c r="D139" s="635"/>
      <c r="E139" s="635"/>
      <c r="F139" s="635"/>
      <c r="G139" s="635"/>
      <c r="H139" s="635"/>
      <c r="I139" s="635"/>
      <c r="J139" s="635"/>
      <c r="K139" s="635"/>
      <c r="L139" s="635"/>
      <c r="M139" s="636"/>
      <c r="N139" s="2"/>
    </row>
    <row r="140" spans="1:64" ht="15">
      <c r="A140" s="20" t="s">
        <v>270</v>
      </c>
      <c r="B140" s="3" t="s">
        <v>271</v>
      </c>
      <c r="C140" s="618" t="s">
        <v>272</v>
      </c>
      <c r="D140" s="608"/>
      <c r="E140" s="3" t="s">
        <v>260</v>
      </c>
      <c r="F140" s="21">
        <v>14</v>
      </c>
      <c r="G140" s="537"/>
      <c r="H140" s="21">
        <f>F140*AO140</f>
        <v>0</v>
      </c>
      <c r="I140" s="21">
        <f>F140*AP140</f>
        <v>0</v>
      </c>
      <c r="J140" s="21">
        <f>F140*G140</f>
        <v>0</v>
      </c>
      <c r="K140" s="21">
        <v>0.00767</v>
      </c>
      <c r="L140" s="21">
        <f>F140*K140</f>
        <v>0.10738</v>
      </c>
      <c r="M140" s="22" t="s">
        <v>55</v>
      </c>
      <c r="N140" s="2"/>
      <c r="Z140" s="21">
        <f>IF(AQ140="5",BJ140,0)</f>
        <v>0</v>
      </c>
      <c r="AB140" s="21">
        <f>IF(AQ140="1",BH140,0)</f>
        <v>0</v>
      </c>
      <c r="AC140" s="21">
        <f>IF(AQ140="1",BI140,0)</f>
        <v>0</v>
      </c>
      <c r="AD140" s="21">
        <f>IF(AQ140="7",BH140,0)</f>
        <v>0</v>
      </c>
      <c r="AE140" s="21">
        <f>IF(AQ140="7",BI140,0)</f>
        <v>0</v>
      </c>
      <c r="AF140" s="21">
        <f>IF(AQ140="2",BH140,0)</f>
        <v>0</v>
      </c>
      <c r="AG140" s="21">
        <f>IF(AQ140="2",BI140,0)</f>
        <v>0</v>
      </c>
      <c r="AH140" s="21">
        <f>IF(AQ140="0",BJ140,0)</f>
        <v>0</v>
      </c>
      <c r="AI140" s="10"/>
      <c r="AJ140" s="21">
        <f>IF(AN140=0,J140,0)</f>
        <v>0</v>
      </c>
      <c r="AK140" s="21">
        <f>IF(AN140=15,J140,0)</f>
        <v>0</v>
      </c>
      <c r="AL140" s="21">
        <f>IF(AN140=21,J140,0)</f>
        <v>0</v>
      </c>
      <c r="AN140" s="21">
        <v>21</v>
      </c>
      <c r="AO140" s="21">
        <f>G140*0.981013615733737</f>
        <v>0</v>
      </c>
      <c r="AP140" s="21">
        <f>G140*(1-0.981013615733737)</f>
        <v>0</v>
      </c>
      <c r="AQ140" s="23" t="s">
        <v>51</v>
      </c>
      <c r="AV140" s="21">
        <f>AW140+AX140</f>
        <v>0</v>
      </c>
      <c r="AW140" s="21">
        <f>F140*AO140</f>
        <v>0</v>
      </c>
      <c r="AX140" s="21">
        <f>F140*AP140</f>
        <v>0</v>
      </c>
      <c r="AY140" s="23" t="s">
        <v>190</v>
      </c>
      <c r="AZ140" s="23" t="s">
        <v>137</v>
      </c>
      <c r="BA140" s="10" t="s">
        <v>58</v>
      </c>
      <c r="BC140" s="21">
        <f>AW140+AX140</f>
        <v>0</v>
      </c>
      <c r="BD140" s="21">
        <f>G140/(100-BE140)*100</f>
        <v>0</v>
      </c>
      <c r="BE140" s="21">
        <v>0</v>
      </c>
      <c r="BF140" s="21">
        <f>L140</f>
        <v>0.10738</v>
      </c>
      <c r="BH140" s="21">
        <f>F140*AO140</f>
        <v>0</v>
      </c>
      <c r="BI140" s="21">
        <f>F140*AP140</f>
        <v>0</v>
      </c>
      <c r="BJ140" s="21">
        <f>F140*G140</f>
        <v>0</v>
      </c>
      <c r="BK140" s="21" t="s">
        <v>59</v>
      </c>
      <c r="BL140" s="21">
        <v>59</v>
      </c>
    </row>
    <row r="141" spans="1:14" ht="15">
      <c r="A141" s="2"/>
      <c r="B141" s="27" t="s">
        <v>138</v>
      </c>
      <c r="C141" s="639" t="s">
        <v>273</v>
      </c>
      <c r="D141" s="640"/>
      <c r="E141" s="640"/>
      <c r="F141" s="640"/>
      <c r="G141" s="640"/>
      <c r="H141" s="640"/>
      <c r="I141" s="640"/>
      <c r="J141" s="640"/>
      <c r="K141" s="640"/>
      <c r="L141" s="640"/>
      <c r="M141" s="641"/>
      <c r="N141" s="2"/>
    </row>
    <row r="142" spans="1:14" ht="15">
      <c r="A142" s="2"/>
      <c r="C142" s="24" t="s">
        <v>128</v>
      </c>
      <c r="D142" s="24"/>
      <c r="F142" s="25">
        <v>14</v>
      </c>
      <c r="M142" s="26"/>
      <c r="N142" s="2"/>
    </row>
    <row r="143" spans="1:14" ht="15">
      <c r="A143" s="2"/>
      <c r="B143" s="27" t="s">
        <v>61</v>
      </c>
      <c r="C143" s="634" t="s">
        <v>274</v>
      </c>
      <c r="D143" s="635"/>
      <c r="E143" s="635"/>
      <c r="F143" s="635"/>
      <c r="G143" s="635"/>
      <c r="H143" s="635"/>
      <c r="I143" s="635"/>
      <c r="J143" s="635"/>
      <c r="K143" s="635"/>
      <c r="L143" s="635"/>
      <c r="M143" s="636"/>
      <c r="N143" s="2"/>
    </row>
    <row r="144" spans="1:64" ht="15">
      <c r="A144" s="20" t="s">
        <v>275</v>
      </c>
      <c r="B144" s="3" t="s">
        <v>276</v>
      </c>
      <c r="C144" s="618" t="s">
        <v>277</v>
      </c>
      <c r="D144" s="608"/>
      <c r="E144" s="3" t="s">
        <v>260</v>
      </c>
      <c r="F144" s="21">
        <v>1</v>
      </c>
      <c r="G144" s="537"/>
      <c r="H144" s="21">
        <f>F144*AO144</f>
        <v>0</v>
      </c>
      <c r="I144" s="21">
        <f>F144*AP144</f>
        <v>0</v>
      </c>
      <c r="J144" s="21">
        <f>F144*G144</f>
        <v>0</v>
      </c>
      <c r="K144" s="21">
        <v>0.1831</v>
      </c>
      <c r="L144" s="21">
        <f>F144*K144</f>
        <v>0.1831</v>
      </c>
      <c r="M144" s="22" t="s">
        <v>55</v>
      </c>
      <c r="N144" s="2"/>
      <c r="Z144" s="21">
        <f>IF(AQ144="5",BJ144,0)</f>
        <v>0</v>
      </c>
      <c r="AB144" s="21">
        <f>IF(AQ144="1",BH144,0)</f>
        <v>0</v>
      </c>
      <c r="AC144" s="21">
        <f>IF(AQ144="1",BI144,0)</f>
        <v>0</v>
      </c>
      <c r="AD144" s="21">
        <f>IF(AQ144="7",BH144,0)</f>
        <v>0</v>
      </c>
      <c r="AE144" s="21">
        <f>IF(AQ144="7",BI144,0)</f>
        <v>0</v>
      </c>
      <c r="AF144" s="21">
        <f>IF(AQ144="2",BH144,0)</f>
        <v>0</v>
      </c>
      <c r="AG144" s="21">
        <f>IF(AQ144="2",BI144,0)</f>
        <v>0</v>
      </c>
      <c r="AH144" s="21">
        <f>IF(AQ144="0",BJ144,0)</f>
        <v>0</v>
      </c>
      <c r="AI144" s="10"/>
      <c r="AJ144" s="21">
        <f>IF(AN144=0,J144,0)</f>
        <v>0</v>
      </c>
      <c r="AK144" s="21">
        <f>IF(AN144=15,J144,0)</f>
        <v>0</v>
      </c>
      <c r="AL144" s="21">
        <f>IF(AN144=21,J144,0)</f>
        <v>0</v>
      </c>
      <c r="AN144" s="21">
        <v>21</v>
      </c>
      <c r="AO144" s="21">
        <f>G144*0.97569562377531</f>
        <v>0</v>
      </c>
      <c r="AP144" s="21">
        <f>G144*(1-0.97569562377531)</f>
        <v>0</v>
      </c>
      <c r="AQ144" s="23" t="s">
        <v>51</v>
      </c>
      <c r="AV144" s="21">
        <f>AW144+AX144</f>
        <v>0</v>
      </c>
      <c r="AW144" s="21">
        <f>F144*AO144</f>
        <v>0</v>
      </c>
      <c r="AX144" s="21">
        <f>F144*AP144</f>
        <v>0</v>
      </c>
      <c r="AY144" s="23" t="s">
        <v>190</v>
      </c>
      <c r="AZ144" s="23" t="s">
        <v>137</v>
      </c>
      <c r="BA144" s="10" t="s">
        <v>58</v>
      </c>
      <c r="BC144" s="21">
        <f>AW144+AX144</f>
        <v>0</v>
      </c>
      <c r="BD144" s="21">
        <f>G144/(100-BE144)*100</f>
        <v>0</v>
      </c>
      <c r="BE144" s="21">
        <v>0</v>
      </c>
      <c r="BF144" s="21">
        <f>L144</f>
        <v>0.1831</v>
      </c>
      <c r="BH144" s="21">
        <f>F144*AO144</f>
        <v>0</v>
      </c>
      <c r="BI144" s="21">
        <f>F144*AP144</f>
        <v>0</v>
      </c>
      <c r="BJ144" s="21">
        <f>F144*G144</f>
        <v>0</v>
      </c>
      <c r="BK144" s="21" t="s">
        <v>59</v>
      </c>
      <c r="BL144" s="21">
        <v>59</v>
      </c>
    </row>
    <row r="145" spans="1:14" ht="15">
      <c r="A145" s="2"/>
      <c r="C145" s="24" t="s">
        <v>51</v>
      </c>
      <c r="D145" s="24"/>
      <c r="F145" s="25">
        <v>1</v>
      </c>
      <c r="M145" s="26"/>
      <c r="N145" s="2"/>
    </row>
    <row r="146" spans="1:14" ht="25.65" customHeight="1">
      <c r="A146" s="2"/>
      <c r="B146" s="27" t="s">
        <v>61</v>
      </c>
      <c r="C146" s="634" t="s">
        <v>278</v>
      </c>
      <c r="D146" s="635"/>
      <c r="E146" s="635"/>
      <c r="F146" s="635"/>
      <c r="G146" s="635"/>
      <c r="H146" s="635"/>
      <c r="I146" s="635"/>
      <c r="J146" s="635"/>
      <c r="K146" s="635"/>
      <c r="L146" s="635"/>
      <c r="M146" s="636"/>
      <c r="N146" s="2"/>
    </row>
    <row r="147" spans="1:47" ht="15">
      <c r="A147" s="41"/>
      <c r="B147" s="42" t="s">
        <v>279</v>
      </c>
      <c r="C147" s="637" t="s">
        <v>280</v>
      </c>
      <c r="D147" s="638"/>
      <c r="E147" s="43" t="s">
        <v>4</v>
      </c>
      <c r="F147" s="43" t="s">
        <v>4</v>
      </c>
      <c r="G147" s="43" t="s">
        <v>4</v>
      </c>
      <c r="H147" s="44">
        <f>SUM(H148:H148)</f>
        <v>0</v>
      </c>
      <c r="I147" s="44">
        <f>SUM(I148:I148)</f>
        <v>0</v>
      </c>
      <c r="J147" s="44">
        <f>SUM(J148:J148)</f>
        <v>0</v>
      </c>
      <c r="K147" s="45"/>
      <c r="L147" s="44">
        <f>SUM(L148:L148)</f>
        <v>0.14628</v>
      </c>
      <c r="M147" s="46"/>
      <c r="N147" s="2"/>
      <c r="AI147" s="10"/>
      <c r="AS147" s="19">
        <f>SUM(AJ148:AJ148)</f>
        <v>0</v>
      </c>
      <c r="AT147" s="19">
        <f>SUM(AK148:AK148)</f>
        <v>0</v>
      </c>
      <c r="AU147" s="19">
        <f>SUM(AL148:AL148)</f>
        <v>0</v>
      </c>
    </row>
    <row r="148" spans="1:64" ht="15">
      <c r="A148" s="20" t="s">
        <v>281</v>
      </c>
      <c r="B148" s="3" t="s">
        <v>282</v>
      </c>
      <c r="C148" s="618" t="s">
        <v>283</v>
      </c>
      <c r="D148" s="608"/>
      <c r="E148" s="3" t="s">
        <v>74</v>
      </c>
      <c r="F148" s="21">
        <v>6</v>
      </c>
      <c r="G148" s="537"/>
      <c r="H148" s="21">
        <f>F148*AO148</f>
        <v>0</v>
      </c>
      <c r="I148" s="21">
        <f>F148*AP148</f>
        <v>0</v>
      </c>
      <c r="J148" s="21">
        <f>F148*G148</f>
        <v>0</v>
      </c>
      <c r="K148" s="21">
        <v>0.02438</v>
      </c>
      <c r="L148" s="21">
        <f>F148*K148</f>
        <v>0.14628</v>
      </c>
      <c r="M148" s="22" t="s">
        <v>55</v>
      </c>
      <c r="N148" s="2"/>
      <c r="Z148" s="21">
        <f>IF(AQ148="5",BJ148,0)</f>
        <v>0</v>
      </c>
      <c r="AB148" s="21">
        <f>IF(AQ148="1",BH148,0)</f>
        <v>0</v>
      </c>
      <c r="AC148" s="21">
        <f>IF(AQ148="1",BI148,0)</f>
        <v>0</v>
      </c>
      <c r="AD148" s="21">
        <f>IF(AQ148="7",BH148,0)</f>
        <v>0</v>
      </c>
      <c r="AE148" s="21">
        <f>IF(AQ148="7",BI148,0)</f>
        <v>0</v>
      </c>
      <c r="AF148" s="21">
        <f>IF(AQ148="2",BH148,0)</f>
        <v>0</v>
      </c>
      <c r="AG148" s="21">
        <f>IF(AQ148="2",BI148,0)</f>
        <v>0</v>
      </c>
      <c r="AH148" s="21">
        <f>IF(AQ148="0",BJ148,0)</f>
        <v>0</v>
      </c>
      <c r="AI148" s="10"/>
      <c r="AJ148" s="21">
        <f>IF(AN148=0,J148,0)</f>
        <v>0</v>
      </c>
      <c r="AK148" s="21">
        <f>IF(AN148=15,J148,0)</f>
        <v>0</v>
      </c>
      <c r="AL148" s="21">
        <f>IF(AN148=21,J148,0)</f>
        <v>0</v>
      </c>
      <c r="AN148" s="21">
        <v>21</v>
      </c>
      <c r="AO148" s="21">
        <f>G148*0.784673123486683</f>
        <v>0</v>
      </c>
      <c r="AP148" s="21">
        <f>G148*(1-0.784673123486683)</f>
        <v>0</v>
      </c>
      <c r="AQ148" s="23" t="s">
        <v>51</v>
      </c>
      <c r="AV148" s="21">
        <f>AW148+AX148</f>
        <v>0</v>
      </c>
      <c r="AW148" s="21">
        <f>F148*AO148</f>
        <v>0</v>
      </c>
      <c r="AX148" s="21">
        <f>F148*AP148</f>
        <v>0</v>
      </c>
      <c r="AY148" s="23" t="s">
        <v>284</v>
      </c>
      <c r="AZ148" s="23" t="s">
        <v>285</v>
      </c>
      <c r="BA148" s="10" t="s">
        <v>58</v>
      </c>
      <c r="BC148" s="21">
        <f>AW148+AX148</f>
        <v>0</v>
      </c>
      <c r="BD148" s="21">
        <f>G148/(100-BE148)*100</f>
        <v>0</v>
      </c>
      <c r="BE148" s="21">
        <v>0</v>
      </c>
      <c r="BF148" s="21">
        <f>L148</f>
        <v>0.14628</v>
      </c>
      <c r="BH148" s="21">
        <f>F148*AO148</f>
        <v>0</v>
      </c>
      <c r="BI148" s="21">
        <f>F148*AP148</f>
        <v>0</v>
      </c>
      <c r="BJ148" s="21">
        <f>F148*G148</f>
        <v>0</v>
      </c>
      <c r="BK148" s="21" t="s">
        <v>59</v>
      </c>
      <c r="BL148" s="21">
        <v>83</v>
      </c>
    </row>
    <row r="149" spans="1:14" ht="15">
      <c r="A149" s="2"/>
      <c r="B149" s="27" t="s">
        <v>138</v>
      </c>
      <c r="C149" s="639" t="s">
        <v>286</v>
      </c>
      <c r="D149" s="640"/>
      <c r="E149" s="640"/>
      <c r="F149" s="640"/>
      <c r="G149" s="640"/>
      <c r="H149" s="640"/>
      <c r="I149" s="640"/>
      <c r="J149" s="640"/>
      <c r="K149" s="640"/>
      <c r="L149" s="640"/>
      <c r="M149" s="641"/>
      <c r="N149" s="2"/>
    </row>
    <row r="150" spans="1:14" ht="15">
      <c r="A150" s="2"/>
      <c r="C150" s="24" t="s">
        <v>85</v>
      </c>
      <c r="D150" s="24"/>
      <c r="F150" s="25">
        <v>6</v>
      </c>
      <c r="M150" s="26"/>
      <c r="N150" s="2"/>
    </row>
    <row r="151" spans="1:14" ht="15">
      <c r="A151" s="2"/>
      <c r="B151" s="27" t="s">
        <v>61</v>
      </c>
      <c r="C151" s="634" t="s">
        <v>287</v>
      </c>
      <c r="D151" s="635"/>
      <c r="E151" s="635"/>
      <c r="F151" s="635"/>
      <c r="G151" s="635"/>
      <c r="H151" s="635"/>
      <c r="I151" s="635"/>
      <c r="J151" s="635"/>
      <c r="K151" s="635"/>
      <c r="L151" s="635"/>
      <c r="M151" s="636"/>
      <c r="N151" s="2"/>
    </row>
    <row r="152" spans="1:47" ht="15">
      <c r="A152" s="41"/>
      <c r="B152" s="42" t="s">
        <v>288</v>
      </c>
      <c r="C152" s="637" t="s">
        <v>289</v>
      </c>
      <c r="D152" s="638"/>
      <c r="E152" s="43" t="s">
        <v>4</v>
      </c>
      <c r="F152" s="43" t="s">
        <v>4</v>
      </c>
      <c r="G152" s="43" t="s">
        <v>4</v>
      </c>
      <c r="H152" s="44">
        <f>SUM(H153:H153)</f>
        <v>0</v>
      </c>
      <c r="I152" s="44">
        <f>SUM(I153:I153)</f>
        <v>0</v>
      </c>
      <c r="J152" s="44">
        <f>SUM(J153:J153)</f>
        <v>0</v>
      </c>
      <c r="K152" s="45"/>
      <c r="L152" s="44">
        <f>SUM(L153:L153)</f>
        <v>1.72376</v>
      </c>
      <c r="M152" s="46"/>
      <c r="N152" s="2"/>
      <c r="AI152" s="10"/>
      <c r="AS152" s="19">
        <f>SUM(AJ153:AJ153)</f>
        <v>0</v>
      </c>
      <c r="AT152" s="19">
        <f>SUM(AK153:AK153)</f>
        <v>0</v>
      </c>
      <c r="AU152" s="19">
        <f>SUM(AL153:AL153)</f>
        <v>0</v>
      </c>
    </row>
    <row r="153" spans="1:64" ht="15">
      <c r="A153" s="20" t="s">
        <v>290</v>
      </c>
      <c r="B153" s="3" t="s">
        <v>291</v>
      </c>
      <c r="C153" s="618" t="s">
        <v>292</v>
      </c>
      <c r="D153" s="608"/>
      <c r="E153" s="3" t="s">
        <v>260</v>
      </c>
      <c r="F153" s="21">
        <v>4</v>
      </c>
      <c r="G153" s="537"/>
      <c r="H153" s="21">
        <f>F153*AO153</f>
        <v>0</v>
      </c>
      <c r="I153" s="21">
        <f>F153*AP153</f>
        <v>0</v>
      </c>
      <c r="J153" s="21">
        <f>F153*G153</f>
        <v>0</v>
      </c>
      <c r="K153" s="21">
        <v>0.43094</v>
      </c>
      <c r="L153" s="21">
        <f>F153*K153</f>
        <v>1.72376</v>
      </c>
      <c r="M153" s="22" t="s">
        <v>55</v>
      </c>
      <c r="N153" s="2"/>
      <c r="Z153" s="21">
        <f>IF(AQ153="5",BJ153,0)</f>
        <v>0</v>
      </c>
      <c r="AB153" s="21">
        <f>IF(AQ153="1",BH153,0)</f>
        <v>0</v>
      </c>
      <c r="AC153" s="21">
        <f>IF(AQ153="1",BI153,0)</f>
        <v>0</v>
      </c>
      <c r="AD153" s="21">
        <f>IF(AQ153="7",BH153,0)</f>
        <v>0</v>
      </c>
      <c r="AE153" s="21">
        <f>IF(AQ153="7",BI153,0)</f>
        <v>0</v>
      </c>
      <c r="AF153" s="21">
        <f>IF(AQ153="2",BH153,0)</f>
        <v>0</v>
      </c>
      <c r="AG153" s="21">
        <f>IF(AQ153="2",BI153,0)</f>
        <v>0</v>
      </c>
      <c r="AH153" s="21">
        <f>IF(AQ153="0",BJ153,0)</f>
        <v>0</v>
      </c>
      <c r="AI153" s="10"/>
      <c r="AJ153" s="21">
        <f>IF(AN153=0,J153,0)</f>
        <v>0</v>
      </c>
      <c r="AK153" s="21">
        <f>IF(AN153=15,J153,0)</f>
        <v>0</v>
      </c>
      <c r="AL153" s="21">
        <f>IF(AN153=21,J153,0)</f>
        <v>0</v>
      </c>
      <c r="AN153" s="21">
        <v>21</v>
      </c>
      <c r="AO153" s="21">
        <f>G153*0.302344</f>
        <v>0</v>
      </c>
      <c r="AP153" s="21">
        <f>G153*(1-0.302344)</f>
        <v>0</v>
      </c>
      <c r="AQ153" s="23" t="s">
        <v>51</v>
      </c>
      <c r="AV153" s="21">
        <f>AW153+AX153</f>
        <v>0</v>
      </c>
      <c r="AW153" s="21">
        <f>F153*AO153</f>
        <v>0</v>
      </c>
      <c r="AX153" s="21">
        <f>F153*AP153</f>
        <v>0</v>
      </c>
      <c r="AY153" s="23" t="s">
        <v>293</v>
      </c>
      <c r="AZ153" s="23" t="s">
        <v>285</v>
      </c>
      <c r="BA153" s="10" t="s">
        <v>58</v>
      </c>
      <c r="BC153" s="21">
        <f>AW153+AX153</f>
        <v>0</v>
      </c>
      <c r="BD153" s="21">
        <f>G153/(100-BE153)*100</f>
        <v>0</v>
      </c>
      <c r="BE153" s="21">
        <v>0</v>
      </c>
      <c r="BF153" s="21">
        <f>L153</f>
        <v>1.72376</v>
      </c>
      <c r="BH153" s="21">
        <f>F153*AO153</f>
        <v>0</v>
      </c>
      <c r="BI153" s="21">
        <f>F153*AP153</f>
        <v>0</v>
      </c>
      <c r="BJ153" s="21">
        <f>F153*G153</f>
        <v>0</v>
      </c>
      <c r="BK153" s="21" t="s">
        <v>59</v>
      </c>
      <c r="BL153" s="21">
        <v>89</v>
      </c>
    </row>
    <row r="154" spans="1:14" ht="15">
      <c r="A154" s="2"/>
      <c r="C154" s="24" t="s">
        <v>71</v>
      </c>
      <c r="D154" s="24"/>
      <c r="F154" s="25">
        <v>4</v>
      </c>
      <c r="M154" s="26"/>
      <c r="N154" s="2"/>
    </row>
    <row r="155" spans="1:47" ht="15">
      <c r="A155" s="41"/>
      <c r="B155" s="42" t="s">
        <v>294</v>
      </c>
      <c r="C155" s="637" t="s">
        <v>295</v>
      </c>
      <c r="D155" s="638"/>
      <c r="E155" s="43" t="s">
        <v>4</v>
      </c>
      <c r="F155" s="43" t="s">
        <v>4</v>
      </c>
      <c r="G155" s="43" t="s">
        <v>4</v>
      </c>
      <c r="H155" s="44">
        <f>SUM(H156:H207)</f>
        <v>0</v>
      </c>
      <c r="I155" s="44">
        <f>SUM(I156:I207)</f>
        <v>0</v>
      </c>
      <c r="J155" s="44">
        <f>SUM(J156:J207)</f>
        <v>0</v>
      </c>
      <c r="K155" s="45"/>
      <c r="L155" s="44">
        <f>SUM(L156:L207)</f>
        <v>121.06500100000001</v>
      </c>
      <c r="M155" s="46"/>
      <c r="N155" s="2"/>
      <c r="AI155" s="10"/>
      <c r="AS155" s="19">
        <f>SUM(AJ156:AJ207)</f>
        <v>0</v>
      </c>
      <c r="AT155" s="19">
        <f>SUM(AK156:AK207)</f>
        <v>0</v>
      </c>
      <c r="AU155" s="19">
        <f>SUM(AL156:AL207)</f>
        <v>0</v>
      </c>
    </row>
    <row r="156" spans="1:64" ht="15">
      <c r="A156" s="20" t="s">
        <v>296</v>
      </c>
      <c r="B156" s="3" t="s">
        <v>297</v>
      </c>
      <c r="C156" s="618" t="s">
        <v>298</v>
      </c>
      <c r="D156" s="608"/>
      <c r="E156" s="3" t="s">
        <v>74</v>
      </c>
      <c r="F156" s="21">
        <v>482.3</v>
      </c>
      <c r="G156" s="537"/>
      <c r="H156" s="21">
        <f>F156*AO156</f>
        <v>0</v>
      </c>
      <c r="I156" s="21">
        <f>F156*AP156</f>
        <v>0</v>
      </c>
      <c r="J156" s="21">
        <f>F156*G156</f>
        <v>0</v>
      </c>
      <c r="K156" s="21">
        <v>0.188</v>
      </c>
      <c r="L156" s="21">
        <f>F156*K156</f>
        <v>90.6724</v>
      </c>
      <c r="M156" s="22" t="s">
        <v>55</v>
      </c>
      <c r="N156" s="2"/>
      <c r="Z156" s="21">
        <f>IF(AQ156="5",BJ156,0)</f>
        <v>0</v>
      </c>
      <c r="AB156" s="21">
        <f>IF(AQ156="1",BH156,0)</f>
        <v>0</v>
      </c>
      <c r="AC156" s="21">
        <f>IF(AQ156="1",BI156,0)</f>
        <v>0</v>
      </c>
      <c r="AD156" s="21">
        <f>IF(AQ156="7",BH156,0)</f>
        <v>0</v>
      </c>
      <c r="AE156" s="21">
        <f>IF(AQ156="7",BI156,0)</f>
        <v>0</v>
      </c>
      <c r="AF156" s="21">
        <f>IF(AQ156="2",BH156,0)</f>
        <v>0</v>
      </c>
      <c r="AG156" s="21">
        <f>IF(AQ156="2",BI156,0)</f>
        <v>0</v>
      </c>
      <c r="AH156" s="21">
        <f>IF(AQ156="0",BJ156,0)</f>
        <v>0</v>
      </c>
      <c r="AI156" s="10"/>
      <c r="AJ156" s="21">
        <f>IF(AN156=0,J156,0)</f>
        <v>0</v>
      </c>
      <c r="AK156" s="21">
        <f>IF(AN156=15,J156,0)</f>
        <v>0</v>
      </c>
      <c r="AL156" s="21">
        <f>IF(AN156=21,J156,0)</f>
        <v>0</v>
      </c>
      <c r="AN156" s="21">
        <v>21</v>
      </c>
      <c r="AO156" s="21">
        <f>G156*0.559380097879282</f>
        <v>0</v>
      </c>
      <c r="AP156" s="21">
        <f>G156*(1-0.559380097879282)</f>
        <v>0</v>
      </c>
      <c r="AQ156" s="23" t="s">
        <v>51</v>
      </c>
      <c r="AV156" s="21">
        <f>AW156+AX156</f>
        <v>0</v>
      </c>
      <c r="AW156" s="21">
        <f>F156*AO156</f>
        <v>0</v>
      </c>
      <c r="AX156" s="21">
        <f>F156*AP156</f>
        <v>0</v>
      </c>
      <c r="AY156" s="23" t="s">
        <v>299</v>
      </c>
      <c r="AZ156" s="23" t="s">
        <v>300</v>
      </c>
      <c r="BA156" s="10" t="s">
        <v>58</v>
      </c>
      <c r="BC156" s="21">
        <f>AW156+AX156</f>
        <v>0</v>
      </c>
      <c r="BD156" s="21">
        <f>G156/(100-BE156)*100</f>
        <v>0</v>
      </c>
      <c r="BE156" s="21">
        <v>0</v>
      </c>
      <c r="BF156" s="21">
        <f>L156</f>
        <v>90.6724</v>
      </c>
      <c r="BH156" s="21">
        <f>F156*AO156</f>
        <v>0</v>
      </c>
      <c r="BI156" s="21">
        <f>F156*AP156</f>
        <v>0</v>
      </c>
      <c r="BJ156" s="21">
        <f>F156*G156</f>
        <v>0</v>
      </c>
      <c r="BK156" s="21" t="s">
        <v>59</v>
      </c>
      <c r="BL156" s="21">
        <v>91</v>
      </c>
    </row>
    <row r="157" spans="1:14" ht="15">
      <c r="A157" s="2"/>
      <c r="C157" s="24" t="s">
        <v>301</v>
      </c>
      <c r="D157" s="24"/>
      <c r="F157" s="25">
        <v>450</v>
      </c>
      <c r="M157" s="26"/>
      <c r="N157" s="2"/>
    </row>
    <row r="158" spans="1:14" ht="15">
      <c r="A158" s="2"/>
      <c r="C158" s="24" t="s">
        <v>302</v>
      </c>
      <c r="D158" s="24" t="s">
        <v>303</v>
      </c>
      <c r="F158" s="25">
        <v>32.3</v>
      </c>
      <c r="M158" s="26"/>
      <c r="N158" s="2"/>
    </row>
    <row r="159" spans="1:14" ht="15">
      <c r="A159" s="2"/>
      <c r="B159" s="27" t="s">
        <v>61</v>
      </c>
      <c r="C159" s="634" t="s">
        <v>304</v>
      </c>
      <c r="D159" s="635"/>
      <c r="E159" s="635"/>
      <c r="F159" s="635"/>
      <c r="G159" s="635"/>
      <c r="H159" s="635"/>
      <c r="I159" s="635"/>
      <c r="J159" s="635"/>
      <c r="K159" s="635"/>
      <c r="L159" s="635"/>
      <c r="M159" s="636"/>
      <c r="N159" s="2"/>
    </row>
    <row r="160" spans="1:64" ht="15">
      <c r="A160" s="20" t="s">
        <v>305</v>
      </c>
      <c r="B160" s="3" t="s">
        <v>306</v>
      </c>
      <c r="C160" s="618" t="s">
        <v>307</v>
      </c>
      <c r="D160" s="608"/>
      <c r="E160" s="3" t="s">
        <v>260</v>
      </c>
      <c r="F160" s="21">
        <v>143.42</v>
      </c>
      <c r="G160" s="537"/>
      <c r="H160" s="21">
        <f>F160*AO160</f>
        <v>0</v>
      </c>
      <c r="I160" s="21">
        <f>F160*AP160</f>
        <v>0</v>
      </c>
      <c r="J160" s="21">
        <f>F160*G160</f>
        <v>0</v>
      </c>
      <c r="K160" s="21">
        <v>0.08</v>
      </c>
      <c r="L160" s="21">
        <f>F160*K160</f>
        <v>11.4736</v>
      </c>
      <c r="M160" s="22" t="s">
        <v>55</v>
      </c>
      <c r="N160" s="2"/>
      <c r="Z160" s="21">
        <f>IF(AQ160="5",BJ160,0)</f>
        <v>0</v>
      </c>
      <c r="AB160" s="21">
        <f>IF(AQ160="1",BH160,0)</f>
        <v>0</v>
      </c>
      <c r="AC160" s="21">
        <f>IF(AQ160="1",BI160,0)</f>
        <v>0</v>
      </c>
      <c r="AD160" s="21">
        <f>IF(AQ160="7",BH160,0)</f>
        <v>0</v>
      </c>
      <c r="AE160" s="21">
        <f>IF(AQ160="7",BI160,0)</f>
        <v>0</v>
      </c>
      <c r="AF160" s="21">
        <f>IF(AQ160="2",BH160,0)</f>
        <v>0</v>
      </c>
      <c r="AG160" s="21">
        <f>IF(AQ160="2",BI160,0)</f>
        <v>0</v>
      </c>
      <c r="AH160" s="21">
        <f>IF(AQ160="0",BJ160,0)</f>
        <v>0</v>
      </c>
      <c r="AI160" s="10"/>
      <c r="AJ160" s="21">
        <f>IF(AN160=0,J160,0)</f>
        <v>0</v>
      </c>
      <c r="AK160" s="21">
        <f>IF(AN160=15,J160,0)</f>
        <v>0</v>
      </c>
      <c r="AL160" s="21">
        <f>IF(AN160=21,J160,0)</f>
        <v>0</v>
      </c>
      <c r="AN160" s="21">
        <v>21</v>
      </c>
      <c r="AO160" s="21">
        <f>G160*1</f>
        <v>0</v>
      </c>
      <c r="AP160" s="21">
        <f>G160*(1-1)</f>
        <v>0</v>
      </c>
      <c r="AQ160" s="23" t="s">
        <v>51</v>
      </c>
      <c r="AV160" s="21">
        <f>AW160+AX160</f>
        <v>0</v>
      </c>
      <c r="AW160" s="21">
        <f>F160*AO160</f>
        <v>0</v>
      </c>
      <c r="AX160" s="21">
        <f>F160*AP160</f>
        <v>0</v>
      </c>
      <c r="AY160" s="23" t="s">
        <v>299</v>
      </c>
      <c r="AZ160" s="23" t="s">
        <v>300</v>
      </c>
      <c r="BA160" s="10" t="s">
        <v>58</v>
      </c>
      <c r="BC160" s="21">
        <f>AW160+AX160</f>
        <v>0</v>
      </c>
      <c r="BD160" s="21">
        <f>G160/(100-BE160)*100</f>
        <v>0</v>
      </c>
      <c r="BE160" s="21">
        <v>0</v>
      </c>
      <c r="BF160" s="21">
        <f>L160</f>
        <v>11.4736</v>
      </c>
      <c r="BH160" s="21">
        <f>F160*AO160</f>
        <v>0</v>
      </c>
      <c r="BI160" s="21">
        <f>F160*AP160</f>
        <v>0</v>
      </c>
      <c r="BJ160" s="21">
        <f>F160*G160</f>
        <v>0</v>
      </c>
      <c r="BK160" s="21" t="s">
        <v>201</v>
      </c>
      <c r="BL160" s="21">
        <v>91</v>
      </c>
    </row>
    <row r="161" spans="1:14" ht="15">
      <c r="A161" s="2"/>
      <c r="C161" s="24" t="s">
        <v>308</v>
      </c>
      <c r="D161" s="24"/>
      <c r="F161" s="25">
        <v>142</v>
      </c>
      <c r="M161" s="26"/>
      <c r="N161" s="2"/>
    </row>
    <row r="162" spans="1:14" ht="15">
      <c r="A162" s="2"/>
      <c r="C162" s="24" t="s">
        <v>309</v>
      </c>
      <c r="D162" s="24"/>
      <c r="F162" s="25">
        <v>1.42</v>
      </c>
      <c r="M162" s="26"/>
      <c r="N162" s="2"/>
    </row>
    <row r="163" spans="1:14" ht="15">
      <c r="A163" s="2"/>
      <c r="B163" s="27"/>
      <c r="C163" s="634"/>
      <c r="D163" s="635"/>
      <c r="E163" s="635"/>
      <c r="F163" s="635"/>
      <c r="G163" s="635"/>
      <c r="H163" s="635"/>
      <c r="I163" s="635"/>
      <c r="J163" s="635"/>
      <c r="K163" s="635"/>
      <c r="L163" s="635"/>
      <c r="M163" s="636"/>
      <c r="N163" s="2"/>
    </row>
    <row r="164" spans="1:64" ht="15">
      <c r="A164" s="20" t="s">
        <v>232</v>
      </c>
      <c r="B164" s="3" t="s">
        <v>310</v>
      </c>
      <c r="C164" s="618" t="s">
        <v>311</v>
      </c>
      <c r="D164" s="608"/>
      <c r="E164" s="3" t="s">
        <v>260</v>
      </c>
      <c r="F164" s="21">
        <v>277.75</v>
      </c>
      <c r="G164" s="537"/>
      <c r="H164" s="21">
        <f>F164*AO164</f>
        <v>0</v>
      </c>
      <c r="I164" s="21">
        <f>F164*AP164</f>
        <v>0</v>
      </c>
      <c r="J164" s="21">
        <f>F164*G164</f>
        <v>0</v>
      </c>
      <c r="K164" s="21">
        <v>0.046</v>
      </c>
      <c r="L164" s="21">
        <f>F164*K164</f>
        <v>12.7765</v>
      </c>
      <c r="M164" s="22" t="s">
        <v>55</v>
      </c>
      <c r="N164" s="2"/>
      <c r="Z164" s="21">
        <f>IF(AQ164="5",BJ164,0)</f>
        <v>0</v>
      </c>
      <c r="AB164" s="21">
        <f>IF(AQ164="1",BH164,0)</f>
        <v>0</v>
      </c>
      <c r="AC164" s="21">
        <f>IF(AQ164="1",BI164,0)</f>
        <v>0</v>
      </c>
      <c r="AD164" s="21">
        <f>IF(AQ164="7",BH164,0)</f>
        <v>0</v>
      </c>
      <c r="AE164" s="21">
        <f>IF(AQ164="7",BI164,0)</f>
        <v>0</v>
      </c>
      <c r="AF164" s="21">
        <f>IF(AQ164="2",BH164,0)</f>
        <v>0</v>
      </c>
      <c r="AG164" s="21">
        <f>IF(AQ164="2",BI164,0)</f>
        <v>0</v>
      </c>
      <c r="AH164" s="21">
        <f>IF(AQ164="0",BJ164,0)</f>
        <v>0</v>
      </c>
      <c r="AI164" s="10"/>
      <c r="AJ164" s="21">
        <f>IF(AN164=0,J164,0)</f>
        <v>0</v>
      </c>
      <c r="AK164" s="21">
        <f>IF(AN164=15,J164,0)</f>
        <v>0</v>
      </c>
      <c r="AL164" s="21">
        <f>IF(AN164=21,J164,0)</f>
        <v>0</v>
      </c>
      <c r="AN164" s="21">
        <v>21</v>
      </c>
      <c r="AO164" s="21">
        <f>G164*1</f>
        <v>0</v>
      </c>
      <c r="AP164" s="21">
        <f>G164*(1-1)</f>
        <v>0</v>
      </c>
      <c r="AQ164" s="23" t="s">
        <v>51</v>
      </c>
      <c r="AV164" s="21">
        <f>AW164+AX164</f>
        <v>0</v>
      </c>
      <c r="AW164" s="21">
        <f>F164*AO164</f>
        <v>0</v>
      </c>
      <c r="AX164" s="21">
        <f>F164*AP164</f>
        <v>0</v>
      </c>
      <c r="AY164" s="23" t="s">
        <v>299</v>
      </c>
      <c r="AZ164" s="23" t="s">
        <v>300</v>
      </c>
      <c r="BA164" s="10" t="s">
        <v>58</v>
      </c>
      <c r="BC164" s="21">
        <f>AW164+AX164</f>
        <v>0</v>
      </c>
      <c r="BD164" s="21">
        <f>G164/(100-BE164)*100</f>
        <v>0</v>
      </c>
      <c r="BE164" s="21">
        <v>0</v>
      </c>
      <c r="BF164" s="21">
        <f>L164</f>
        <v>12.7765</v>
      </c>
      <c r="BH164" s="21">
        <f>F164*AO164</f>
        <v>0</v>
      </c>
      <c r="BI164" s="21">
        <f>F164*AP164</f>
        <v>0</v>
      </c>
      <c r="BJ164" s="21">
        <f>F164*G164</f>
        <v>0</v>
      </c>
      <c r="BK164" s="21" t="s">
        <v>201</v>
      </c>
      <c r="BL164" s="21">
        <v>91</v>
      </c>
    </row>
    <row r="165" spans="1:14" ht="15">
      <c r="A165" s="2"/>
      <c r="C165" s="24" t="s">
        <v>312</v>
      </c>
      <c r="D165" s="24"/>
      <c r="F165" s="25">
        <v>275</v>
      </c>
      <c r="M165" s="26"/>
      <c r="N165" s="2"/>
    </row>
    <row r="166" spans="1:14" ht="15">
      <c r="A166" s="2"/>
      <c r="C166" s="24" t="s">
        <v>313</v>
      </c>
      <c r="D166" s="24"/>
      <c r="F166" s="25">
        <v>2.75</v>
      </c>
      <c r="M166" s="26"/>
      <c r="N166" s="2"/>
    </row>
    <row r="167" spans="1:14" ht="15">
      <c r="A167" s="2"/>
      <c r="B167" s="27"/>
      <c r="C167" s="634"/>
      <c r="D167" s="635"/>
      <c r="E167" s="635"/>
      <c r="F167" s="635"/>
      <c r="G167" s="635"/>
      <c r="H167" s="635"/>
      <c r="I167" s="635"/>
      <c r="J167" s="635"/>
      <c r="K167" s="635"/>
      <c r="L167" s="635"/>
      <c r="M167" s="636"/>
      <c r="N167" s="2"/>
    </row>
    <row r="168" spans="1:64" ht="15">
      <c r="A168" s="20" t="s">
        <v>315</v>
      </c>
      <c r="B168" s="3" t="s">
        <v>316</v>
      </c>
      <c r="C168" s="618" t="s">
        <v>317</v>
      </c>
      <c r="D168" s="608"/>
      <c r="E168" s="3" t="s">
        <v>260</v>
      </c>
      <c r="F168" s="21">
        <v>22.22</v>
      </c>
      <c r="G168" s="537"/>
      <c r="H168" s="21">
        <f>F168*AO168</f>
        <v>0</v>
      </c>
      <c r="I168" s="21">
        <f>F168*AP168</f>
        <v>0</v>
      </c>
      <c r="J168" s="21">
        <f>F168*G168</f>
        <v>0</v>
      </c>
      <c r="K168" s="21">
        <v>0.0483</v>
      </c>
      <c r="L168" s="21">
        <f>F168*K168</f>
        <v>1.073226</v>
      </c>
      <c r="M168" s="22" t="s">
        <v>55</v>
      </c>
      <c r="N168" s="2"/>
      <c r="Z168" s="21">
        <f>IF(AQ168="5",BJ168,0)</f>
        <v>0</v>
      </c>
      <c r="AB168" s="21">
        <f>IF(AQ168="1",BH168,0)</f>
        <v>0</v>
      </c>
      <c r="AC168" s="21">
        <f>IF(AQ168="1",BI168,0)</f>
        <v>0</v>
      </c>
      <c r="AD168" s="21">
        <f>IF(AQ168="7",BH168,0)</f>
        <v>0</v>
      </c>
      <c r="AE168" s="21">
        <f>IF(AQ168="7",BI168,0)</f>
        <v>0</v>
      </c>
      <c r="AF168" s="21">
        <f>IF(AQ168="2",BH168,0)</f>
        <v>0</v>
      </c>
      <c r="AG168" s="21">
        <f>IF(AQ168="2",BI168,0)</f>
        <v>0</v>
      </c>
      <c r="AH168" s="21">
        <f>IF(AQ168="0",BJ168,0)</f>
        <v>0</v>
      </c>
      <c r="AI168" s="10"/>
      <c r="AJ168" s="21">
        <f>IF(AN168=0,J168,0)</f>
        <v>0</v>
      </c>
      <c r="AK168" s="21">
        <f>IF(AN168=15,J168,0)</f>
        <v>0</v>
      </c>
      <c r="AL168" s="21">
        <f>IF(AN168=21,J168,0)</f>
        <v>0</v>
      </c>
      <c r="AN168" s="21">
        <v>21</v>
      </c>
      <c r="AO168" s="21">
        <f>G168*1</f>
        <v>0</v>
      </c>
      <c r="AP168" s="21">
        <f>G168*(1-1)</f>
        <v>0</v>
      </c>
      <c r="AQ168" s="23" t="s">
        <v>51</v>
      </c>
      <c r="AV168" s="21">
        <f>AW168+AX168</f>
        <v>0</v>
      </c>
      <c r="AW168" s="21">
        <f>F168*AO168</f>
        <v>0</v>
      </c>
      <c r="AX168" s="21">
        <f>F168*AP168</f>
        <v>0</v>
      </c>
      <c r="AY168" s="23" t="s">
        <v>299</v>
      </c>
      <c r="AZ168" s="23" t="s">
        <v>300</v>
      </c>
      <c r="BA168" s="10" t="s">
        <v>58</v>
      </c>
      <c r="BC168" s="21">
        <f>AW168+AX168</f>
        <v>0</v>
      </c>
      <c r="BD168" s="21">
        <f>G168/(100-BE168)*100</f>
        <v>0</v>
      </c>
      <c r="BE168" s="21">
        <v>0</v>
      </c>
      <c r="BF168" s="21">
        <f>L168</f>
        <v>1.073226</v>
      </c>
      <c r="BH168" s="21">
        <f>F168*AO168</f>
        <v>0</v>
      </c>
      <c r="BI168" s="21">
        <f>F168*AP168</f>
        <v>0</v>
      </c>
      <c r="BJ168" s="21">
        <f>F168*G168</f>
        <v>0</v>
      </c>
      <c r="BK168" s="21" t="s">
        <v>201</v>
      </c>
      <c r="BL168" s="21">
        <v>91</v>
      </c>
    </row>
    <row r="169" spans="1:14" ht="15">
      <c r="A169" s="2"/>
      <c r="C169" s="24" t="s">
        <v>165</v>
      </c>
      <c r="D169" s="24"/>
      <c r="F169" s="25">
        <v>22</v>
      </c>
      <c r="M169" s="26"/>
      <c r="N169" s="2"/>
    </row>
    <row r="170" spans="1:14" ht="15">
      <c r="A170" s="2"/>
      <c r="C170" s="24" t="s">
        <v>318</v>
      </c>
      <c r="D170" s="24"/>
      <c r="F170" s="25">
        <v>0.22</v>
      </c>
      <c r="M170" s="26"/>
      <c r="N170" s="2"/>
    </row>
    <row r="171" spans="1:64" ht="15">
      <c r="A171" s="20" t="s">
        <v>319</v>
      </c>
      <c r="B171" s="3" t="s">
        <v>320</v>
      </c>
      <c r="C171" s="618" t="s">
        <v>321</v>
      </c>
      <c r="D171" s="608"/>
      <c r="E171" s="3" t="s">
        <v>260</v>
      </c>
      <c r="F171" s="21">
        <v>5</v>
      </c>
      <c r="G171" s="537"/>
      <c r="H171" s="21">
        <f>F171*AO171</f>
        <v>0</v>
      </c>
      <c r="I171" s="21">
        <f>F171*AP171</f>
        <v>0</v>
      </c>
      <c r="J171" s="21">
        <f>F171*G171</f>
        <v>0</v>
      </c>
      <c r="K171" s="21">
        <v>0.069</v>
      </c>
      <c r="L171" s="21">
        <f>F171*K171</f>
        <v>0.34500000000000003</v>
      </c>
      <c r="M171" s="22" t="s">
        <v>55</v>
      </c>
      <c r="N171" s="2"/>
      <c r="Z171" s="21">
        <f>IF(AQ171="5",BJ171,0)</f>
        <v>0</v>
      </c>
      <c r="AB171" s="21">
        <f>IF(AQ171="1",BH171,0)</f>
        <v>0</v>
      </c>
      <c r="AC171" s="21">
        <f>IF(AQ171="1",BI171,0)</f>
        <v>0</v>
      </c>
      <c r="AD171" s="21">
        <f>IF(AQ171="7",BH171,0)</f>
        <v>0</v>
      </c>
      <c r="AE171" s="21">
        <f>IF(AQ171="7",BI171,0)</f>
        <v>0</v>
      </c>
      <c r="AF171" s="21">
        <f>IF(AQ171="2",BH171,0)</f>
        <v>0</v>
      </c>
      <c r="AG171" s="21">
        <f>IF(AQ171="2",BI171,0)</f>
        <v>0</v>
      </c>
      <c r="AH171" s="21">
        <f>IF(AQ171="0",BJ171,0)</f>
        <v>0</v>
      </c>
      <c r="AI171" s="10"/>
      <c r="AJ171" s="21">
        <f>IF(AN171=0,J171,0)</f>
        <v>0</v>
      </c>
      <c r="AK171" s="21">
        <f>IF(AN171=15,J171,0)</f>
        <v>0</v>
      </c>
      <c r="AL171" s="21">
        <f>IF(AN171=21,J171,0)</f>
        <v>0</v>
      </c>
      <c r="AN171" s="21">
        <v>21</v>
      </c>
      <c r="AO171" s="21">
        <f>G171*1</f>
        <v>0</v>
      </c>
      <c r="AP171" s="21">
        <f>G171*(1-1)</f>
        <v>0</v>
      </c>
      <c r="AQ171" s="23" t="s">
        <v>51</v>
      </c>
      <c r="AV171" s="21">
        <f>AW171+AX171</f>
        <v>0</v>
      </c>
      <c r="AW171" s="21">
        <f>F171*AO171</f>
        <v>0</v>
      </c>
      <c r="AX171" s="21">
        <f>F171*AP171</f>
        <v>0</v>
      </c>
      <c r="AY171" s="23" t="s">
        <v>299</v>
      </c>
      <c r="AZ171" s="23" t="s">
        <v>300</v>
      </c>
      <c r="BA171" s="10" t="s">
        <v>58</v>
      </c>
      <c r="BC171" s="21">
        <f>AW171+AX171</f>
        <v>0</v>
      </c>
      <c r="BD171" s="21">
        <f>G171/(100-BE171)*100</f>
        <v>0</v>
      </c>
      <c r="BE171" s="21">
        <v>0</v>
      </c>
      <c r="BF171" s="21">
        <f>L171</f>
        <v>0.34500000000000003</v>
      </c>
      <c r="BH171" s="21">
        <f>F171*AO171</f>
        <v>0</v>
      </c>
      <c r="BI171" s="21">
        <f>F171*AP171</f>
        <v>0</v>
      </c>
      <c r="BJ171" s="21">
        <f>F171*G171</f>
        <v>0</v>
      </c>
      <c r="BK171" s="21" t="s">
        <v>201</v>
      </c>
      <c r="BL171" s="21">
        <v>91</v>
      </c>
    </row>
    <row r="172" spans="1:14" ht="15">
      <c r="A172" s="2"/>
      <c r="C172" s="24" t="s">
        <v>78</v>
      </c>
      <c r="D172" s="24"/>
      <c r="F172" s="25">
        <v>5</v>
      </c>
      <c r="M172" s="26"/>
      <c r="N172" s="2"/>
    </row>
    <row r="173" spans="1:14" ht="15">
      <c r="A173" s="2"/>
      <c r="B173" s="27"/>
      <c r="C173" s="634"/>
      <c r="D173" s="635"/>
      <c r="E173" s="635"/>
      <c r="F173" s="635"/>
      <c r="G173" s="635"/>
      <c r="H173" s="635"/>
      <c r="I173" s="635"/>
      <c r="J173" s="635"/>
      <c r="K173" s="635"/>
      <c r="L173" s="635"/>
      <c r="M173" s="636"/>
      <c r="N173" s="2"/>
    </row>
    <row r="174" spans="1:64" ht="15">
      <c r="A174" s="20" t="s">
        <v>322</v>
      </c>
      <c r="B174" s="3" t="s">
        <v>323</v>
      </c>
      <c r="C174" s="618" t="s">
        <v>324</v>
      </c>
      <c r="D174" s="608"/>
      <c r="E174" s="3" t="s">
        <v>260</v>
      </c>
      <c r="F174" s="21">
        <v>6</v>
      </c>
      <c r="G174" s="537"/>
      <c r="H174" s="21">
        <f>F174*AO174</f>
        <v>0</v>
      </c>
      <c r="I174" s="21">
        <f>F174*AP174</f>
        <v>0</v>
      </c>
      <c r="J174" s="21">
        <f>F174*G174</f>
        <v>0</v>
      </c>
      <c r="K174" s="21">
        <v>0.069</v>
      </c>
      <c r="L174" s="21">
        <f>F174*K174</f>
        <v>0.41400000000000003</v>
      </c>
      <c r="M174" s="22" t="s">
        <v>55</v>
      </c>
      <c r="N174" s="2"/>
      <c r="Z174" s="21">
        <f>IF(AQ174="5",BJ174,0)</f>
        <v>0</v>
      </c>
      <c r="AB174" s="21">
        <f>IF(AQ174="1",BH174,0)</f>
        <v>0</v>
      </c>
      <c r="AC174" s="21">
        <f>IF(AQ174="1",BI174,0)</f>
        <v>0</v>
      </c>
      <c r="AD174" s="21">
        <f>IF(AQ174="7",BH174,0)</f>
        <v>0</v>
      </c>
      <c r="AE174" s="21">
        <f>IF(AQ174="7",BI174,0)</f>
        <v>0</v>
      </c>
      <c r="AF174" s="21">
        <f>IF(AQ174="2",BH174,0)</f>
        <v>0</v>
      </c>
      <c r="AG174" s="21">
        <f>IF(AQ174="2",BI174,0)</f>
        <v>0</v>
      </c>
      <c r="AH174" s="21">
        <f>IF(AQ174="0",BJ174,0)</f>
        <v>0</v>
      </c>
      <c r="AI174" s="10"/>
      <c r="AJ174" s="21">
        <f>IF(AN174=0,J174,0)</f>
        <v>0</v>
      </c>
      <c r="AK174" s="21">
        <f>IF(AN174=15,J174,0)</f>
        <v>0</v>
      </c>
      <c r="AL174" s="21">
        <f>IF(AN174=21,J174,0)</f>
        <v>0</v>
      </c>
      <c r="AN174" s="21">
        <v>21</v>
      </c>
      <c r="AO174" s="21">
        <f>G174*1</f>
        <v>0</v>
      </c>
      <c r="AP174" s="21">
        <f>G174*(1-1)</f>
        <v>0</v>
      </c>
      <c r="AQ174" s="23" t="s">
        <v>51</v>
      </c>
      <c r="AV174" s="21">
        <f>AW174+AX174</f>
        <v>0</v>
      </c>
      <c r="AW174" s="21">
        <f>F174*AO174</f>
        <v>0</v>
      </c>
      <c r="AX174" s="21">
        <f>F174*AP174</f>
        <v>0</v>
      </c>
      <c r="AY174" s="23" t="s">
        <v>299</v>
      </c>
      <c r="AZ174" s="23" t="s">
        <v>300</v>
      </c>
      <c r="BA174" s="10" t="s">
        <v>58</v>
      </c>
      <c r="BC174" s="21">
        <f>AW174+AX174</f>
        <v>0</v>
      </c>
      <c r="BD174" s="21">
        <f>G174/(100-BE174)*100</f>
        <v>0</v>
      </c>
      <c r="BE174" s="21">
        <v>0</v>
      </c>
      <c r="BF174" s="21">
        <f>L174</f>
        <v>0.41400000000000003</v>
      </c>
      <c r="BH174" s="21">
        <f>F174*AO174</f>
        <v>0</v>
      </c>
      <c r="BI174" s="21">
        <f>F174*AP174</f>
        <v>0</v>
      </c>
      <c r="BJ174" s="21">
        <f>F174*G174</f>
        <v>0</v>
      </c>
      <c r="BK174" s="21" t="s">
        <v>201</v>
      </c>
      <c r="BL174" s="21">
        <v>91</v>
      </c>
    </row>
    <row r="175" spans="1:14" ht="15">
      <c r="A175" s="2"/>
      <c r="C175" s="24" t="s">
        <v>85</v>
      </c>
      <c r="D175" s="24"/>
      <c r="F175" s="25">
        <v>6</v>
      </c>
      <c r="M175" s="26"/>
      <c r="N175" s="2"/>
    </row>
    <row r="176" spans="1:14" ht="15">
      <c r="A176" s="2"/>
      <c r="B176" s="27"/>
      <c r="C176" s="634"/>
      <c r="D176" s="635"/>
      <c r="E176" s="635"/>
      <c r="F176" s="635"/>
      <c r="G176" s="635"/>
      <c r="H176" s="635"/>
      <c r="I176" s="635"/>
      <c r="J176" s="635"/>
      <c r="K176" s="635"/>
      <c r="L176" s="635"/>
      <c r="M176" s="636"/>
      <c r="N176" s="2"/>
    </row>
    <row r="177" spans="1:64" ht="15">
      <c r="A177" s="20" t="s">
        <v>325</v>
      </c>
      <c r="B177" s="3" t="s">
        <v>326</v>
      </c>
      <c r="C177" s="618" t="s">
        <v>327</v>
      </c>
      <c r="D177" s="608"/>
      <c r="E177" s="3" t="s">
        <v>260</v>
      </c>
      <c r="F177" s="21">
        <v>17</v>
      </c>
      <c r="G177" s="537"/>
      <c r="H177" s="21">
        <f>F177*AO177</f>
        <v>0</v>
      </c>
      <c r="I177" s="21">
        <f>F177*AP177</f>
        <v>0</v>
      </c>
      <c r="J177" s="21">
        <f>F177*G177</f>
        <v>0</v>
      </c>
      <c r="K177" s="21">
        <v>0.2</v>
      </c>
      <c r="L177" s="21">
        <f>F177*K177</f>
        <v>3.4000000000000004</v>
      </c>
      <c r="M177" s="22" t="s">
        <v>55</v>
      </c>
      <c r="N177" s="2"/>
      <c r="Z177" s="21">
        <f>IF(AQ177="5",BJ177,0)</f>
        <v>0</v>
      </c>
      <c r="AB177" s="21">
        <f>IF(AQ177="1",BH177,0)</f>
        <v>0</v>
      </c>
      <c r="AC177" s="21">
        <f>IF(AQ177="1",BI177,0)</f>
        <v>0</v>
      </c>
      <c r="AD177" s="21">
        <f>IF(AQ177="7",BH177,0)</f>
        <v>0</v>
      </c>
      <c r="AE177" s="21">
        <f>IF(AQ177="7",BI177,0)</f>
        <v>0</v>
      </c>
      <c r="AF177" s="21">
        <f>IF(AQ177="2",BH177,0)</f>
        <v>0</v>
      </c>
      <c r="AG177" s="21">
        <f>IF(AQ177="2",BI177,0)</f>
        <v>0</v>
      </c>
      <c r="AH177" s="21">
        <f>IF(AQ177="0",BJ177,0)</f>
        <v>0</v>
      </c>
      <c r="AI177" s="10"/>
      <c r="AJ177" s="21">
        <f>IF(AN177=0,J177,0)</f>
        <v>0</v>
      </c>
      <c r="AK177" s="21">
        <f>IF(AN177=15,J177,0)</f>
        <v>0</v>
      </c>
      <c r="AL177" s="21">
        <f>IF(AN177=21,J177,0)</f>
        <v>0</v>
      </c>
      <c r="AN177" s="21">
        <v>21</v>
      </c>
      <c r="AO177" s="21">
        <f>G177*1</f>
        <v>0</v>
      </c>
      <c r="AP177" s="21">
        <f>G177*(1-1)</f>
        <v>0</v>
      </c>
      <c r="AQ177" s="23" t="s">
        <v>51</v>
      </c>
      <c r="AV177" s="21">
        <f>AW177+AX177</f>
        <v>0</v>
      </c>
      <c r="AW177" s="21">
        <f>F177*AO177</f>
        <v>0</v>
      </c>
      <c r="AX177" s="21">
        <f>F177*AP177</f>
        <v>0</v>
      </c>
      <c r="AY177" s="23" t="s">
        <v>299</v>
      </c>
      <c r="AZ177" s="23" t="s">
        <v>300</v>
      </c>
      <c r="BA177" s="10" t="s">
        <v>58</v>
      </c>
      <c r="BC177" s="21">
        <f>AW177+AX177</f>
        <v>0</v>
      </c>
      <c r="BD177" s="21">
        <f>G177/(100-BE177)*100</f>
        <v>0</v>
      </c>
      <c r="BE177" s="21">
        <v>0</v>
      </c>
      <c r="BF177" s="21">
        <f>L177</f>
        <v>3.4000000000000004</v>
      </c>
      <c r="BH177" s="21">
        <f>F177*AO177</f>
        <v>0</v>
      </c>
      <c r="BI177" s="21">
        <f>F177*AP177</f>
        <v>0</v>
      </c>
      <c r="BJ177" s="21">
        <f>F177*G177</f>
        <v>0</v>
      </c>
      <c r="BK177" s="21" t="s">
        <v>201</v>
      </c>
      <c r="BL177" s="21">
        <v>91</v>
      </c>
    </row>
    <row r="178" spans="1:14" ht="15">
      <c r="A178" s="2"/>
      <c r="C178" s="24" t="s">
        <v>102</v>
      </c>
      <c r="D178" s="24"/>
      <c r="F178" s="25">
        <v>17</v>
      </c>
      <c r="M178" s="26"/>
      <c r="N178" s="2"/>
    </row>
    <row r="179" spans="1:64" ht="15">
      <c r="A179" s="20" t="s">
        <v>328</v>
      </c>
      <c r="B179" s="3" t="s">
        <v>329</v>
      </c>
      <c r="C179" s="618" t="s">
        <v>330</v>
      </c>
      <c r="D179" s="608"/>
      <c r="E179" s="3" t="s">
        <v>54</v>
      </c>
      <c r="F179" s="21">
        <v>22.5</v>
      </c>
      <c r="G179" s="537"/>
      <c r="H179" s="21">
        <f>F179*AO179</f>
        <v>0</v>
      </c>
      <c r="I179" s="21">
        <f>F179*AP179</f>
        <v>0</v>
      </c>
      <c r="J179" s="21">
        <f>F179*G179</f>
        <v>0</v>
      </c>
      <c r="K179" s="21">
        <v>0.00107</v>
      </c>
      <c r="L179" s="21">
        <f>F179*K179</f>
        <v>0.024075</v>
      </c>
      <c r="M179" s="539" t="s">
        <v>2130</v>
      </c>
      <c r="N179" s="2"/>
      <c r="Z179" s="21">
        <f>IF(AQ179="5",BJ179,0)</f>
        <v>0</v>
      </c>
      <c r="AB179" s="21">
        <f>IF(AQ179="1",BH179,0)</f>
        <v>0</v>
      </c>
      <c r="AC179" s="21">
        <f>IF(AQ179="1",BI179,0)</f>
        <v>0</v>
      </c>
      <c r="AD179" s="21">
        <f>IF(AQ179="7",BH179,0)</f>
        <v>0</v>
      </c>
      <c r="AE179" s="21">
        <f>IF(AQ179="7",BI179,0)</f>
        <v>0</v>
      </c>
      <c r="AF179" s="21">
        <f>IF(AQ179="2",BH179,0)</f>
        <v>0</v>
      </c>
      <c r="AG179" s="21">
        <f>IF(AQ179="2",BI179,0)</f>
        <v>0</v>
      </c>
      <c r="AH179" s="21">
        <f>IF(AQ179="0",BJ179,0)</f>
        <v>0</v>
      </c>
      <c r="AI179" s="10"/>
      <c r="AJ179" s="21">
        <f>IF(AN179=0,J179,0)</f>
        <v>0</v>
      </c>
      <c r="AK179" s="21">
        <f>IF(AN179=15,J179,0)</f>
        <v>0</v>
      </c>
      <c r="AL179" s="21">
        <f>IF(AN179=21,J179,0)</f>
        <v>0</v>
      </c>
      <c r="AN179" s="21">
        <v>21</v>
      </c>
      <c r="AO179" s="21">
        <f>G179*0.91384</f>
        <v>0</v>
      </c>
      <c r="AP179" s="21">
        <f>G179*(1-0.91384)</f>
        <v>0</v>
      </c>
      <c r="AQ179" s="23" t="s">
        <v>51</v>
      </c>
      <c r="AV179" s="21">
        <f>AW179+AX179</f>
        <v>0</v>
      </c>
      <c r="AW179" s="21">
        <f>F179*AO179</f>
        <v>0</v>
      </c>
      <c r="AX179" s="21">
        <f>F179*AP179</f>
        <v>0</v>
      </c>
      <c r="AY179" s="23" t="s">
        <v>299</v>
      </c>
      <c r="AZ179" s="23" t="s">
        <v>300</v>
      </c>
      <c r="BA179" s="10" t="s">
        <v>58</v>
      </c>
      <c r="BC179" s="21">
        <f>AW179+AX179</f>
        <v>0</v>
      </c>
      <c r="BD179" s="21">
        <f>G179/(100-BE179)*100</f>
        <v>0</v>
      </c>
      <c r="BE179" s="21">
        <v>0</v>
      </c>
      <c r="BF179" s="21">
        <f>L179</f>
        <v>0.024075</v>
      </c>
      <c r="BH179" s="21">
        <f>F179*AO179</f>
        <v>0</v>
      </c>
      <c r="BI179" s="21">
        <f>F179*AP179</f>
        <v>0</v>
      </c>
      <c r="BJ179" s="21">
        <f>F179*G179</f>
        <v>0</v>
      </c>
      <c r="BK179" s="21" t="s">
        <v>59</v>
      </c>
      <c r="BL179" s="21">
        <v>91</v>
      </c>
    </row>
    <row r="180" spans="1:14" ht="15">
      <c r="A180" s="2"/>
      <c r="B180" s="27" t="s">
        <v>138</v>
      </c>
      <c r="C180" s="639" t="s">
        <v>331</v>
      </c>
      <c r="D180" s="640"/>
      <c r="E180" s="640"/>
      <c r="F180" s="640"/>
      <c r="G180" s="640"/>
      <c r="H180" s="640"/>
      <c r="I180" s="640"/>
      <c r="J180" s="640"/>
      <c r="K180" s="640"/>
      <c r="L180" s="640"/>
      <c r="M180" s="641"/>
      <c r="N180" s="2"/>
    </row>
    <row r="181" spans="1:14" ht="15">
      <c r="A181" s="2"/>
      <c r="C181" s="24" t="s">
        <v>332</v>
      </c>
      <c r="D181" s="24" t="s">
        <v>333</v>
      </c>
      <c r="F181" s="25">
        <v>22.5</v>
      </c>
      <c r="M181" s="26"/>
      <c r="N181" s="2"/>
    </row>
    <row r="182" spans="1:14" ht="15">
      <c r="A182" s="2"/>
      <c r="B182" s="27" t="s">
        <v>61</v>
      </c>
      <c r="C182" s="634" t="s">
        <v>334</v>
      </c>
      <c r="D182" s="635"/>
      <c r="E182" s="635"/>
      <c r="F182" s="635"/>
      <c r="G182" s="635"/>
      <c r="H182" s="635"/>
      <c r="I182" s="635"/>
      <c r="J182" s="635"/>
      <c r="K182" s="635"/>
      <c r="L182" s="635"/>
      <c r="M182" s="636"/>
      <c r="N182" s="2"/>
    </row>
    <row r="183" spans="1:64" ht="15">
      <c r="A183" s="20" t="s">
        <v>132</v>
      </c>
      <c r="B183" s="3" t="s">
        <v>335</v>
      </c>
      <c r="C183" s="618" t="s">
        <v>336</v>
      </c>
      <c r="D183" s="608"/>
      <c r="E183" s="3" t="s">
        <v>260</v>
      </c>
      <c r="F183" s="21">
        <v>5</v>
      </c>
      <c r="G183" s="537"/>
      <c r="H183" s="21">
        <f>F183*AO183</f>
        <v>0</v>
      </c>
      <c r="I183" s="21">
        <f>F183*AP183</f>
        <v>0</v>
      </c>
      <c r="J183" s="21">
        <f>F183*G183</f>
        <v>0</v>
      </c>
      <c r="K183" s="21">
        <v>0.1133</v>
      </c>
      <c r="L183" s="21">
        <f>F183*K183</f>
        <v>0.5665</v>
      </c>
      <c r="M183" s="22" t="s">
        <v>55</v>
      </c>
      <c r="N183" s="2"/>
      <c r="Z183" s="21">
        <f>IF(AQ183="5",BJ183,0)</f>
        <v>0</v>
      </c>
      <c r="AB183" s="21">
        <f>IF(AQ183="1",BH183,0)</f>
        <v>0</v>
      </c>
      <c r="AC183" s="21">
        <f>IF(AQ183="1",BI183,0)</f>
        <v>0</v>
      </c>
      <c r="AD183" s="21">
        <f>IF(AQ183="7",BH183,0)</f>
        <v>0</v>
      </c>
      <c r="AE183" s="21">
        <f>IF(AQ183="7",BI183,0)</f>
        <v>0</v>
      </c>
      <c r="AF183" s="21">
        <f>IF(AQ183="2",BH183,0)</f>
        <v>0</v>
      </c>
      <c r="AG183" s="21">
        <f>IF(AQ183="2",BI183,0)</f>
        <v>0</v>
      </c>
      <c r="AH183" s="21">
        <f>IF(AQ183="0",BJ183,0)</f>
        <v>0</v>
      </c>
      <c r="AI183" s="10"/>
      <c r="AJ183" s="21">
        <f>IF(AN183=0,J183,0)</f>
        <v>0</v>
      </c>
      <c r="AK183" s="21">
        <f>IF(AN183=15,J183,0)</f>
        <v>0</v>
      </c>
      <c r="AL183" s="21">
        <f>IF(AN183=21,J183,0)</f>
        <v>0</v>
      </c>
      <c r="AN183" s="21">
        <v>21</v>
      </c>
      <c r="AO183" s="21">
        <f>G183*0.628078291814947</f>
        <v>0</v>
      </c>
      <c r="AP183" s="21">
        <f>G183*(1-0.628078291814947)</f>
        <v>0</v>
      </c>
      <c r="AQ183" s="23" t="s">
        <v>51</v>
      </c>
      <c r="AV183" s="21">
        <f>AW183+AX183</f>
        <v>0</v>
      </c>
      <c r="AW183" s="21">
        <f>F183*AO183</f>
        <v>0</v>
      </c>
      <c r="AX183" s="21">
        <f>F183*AP183</f>
        <v>0</v>
      </c>
      <c r="AY183" s="23" t="s">
        <v>299</v>
      </c>
      <c r="AZ183" s="23" t="s">
        <v>300</v>
      </c>
      <c r="BA183" s="10" t="s">
        <v>58</v>
      </c>
      <c r="BC183" s="21">
        <f>AW183+AX183</f>
        <v>0</v>
      </c>
      <c r="BD183" s="21">
        <f>G183/(100-BE183)*100</f>
        <v>0</v>
      </c>
      <c r="BE183" s="21">
        <v>0</v>
      </c>
      <c r="BF183" s="21">
        <f>L183</f>
        <v>0.5665</v>
      </c>
      <c r="BH183" s="21">
        <f>F183*AO183</f>
        <v>0</v>
      </c>
      <c r="BI183" s="21">
        <f>F183*AP183</f>
        <v>0</v>
      </c>
      <c r="BJ183" s="21">
        <f>F183*G183</f>
        <v>0</v>
      </c>
      <c r="BK183" s="21" t="s">
        <v>59</v>
      </c>
      <c r="BL183" s="21">
        <v>91</v>
      </c>
    </row>
    <row r="184" spans="1:14" ht="15">
      <c r="A184" s="2"/>
      <c r="C184" s="24" t="s">
        <v>78</v>
      </c>
      <c r="D184" s="24"/>
      <c r="F184" s="25">
        <v>5</v>
      </c>
      <c r="M184" s="26"/>
      <c r="N184" s="2"/>
    </row>
    <row r="185" spans="1:14" ht="15">
      <c r="A185" s="2"/>
      <c r="B185" s="27" t="s">
        <v>61</v>
      </c>
      <c r="C185" s="634" t="s">
        <v>337</v>
      </c>
      <c r="D185" s="635"/>
      <c r="E185" s="635"/>
      <c r="F185" s="635"/>
      <c r="G185" s="635"/>
      <c r="H185" s="635"/>
      <c r="I185" s="635"/>
      <c r="J185" s="635"/>
      <c r="K185" s="635"/>
      <c r="L185" s="635"/>
      <c r="M185" s="636"/>
      <c r="N185" s="2"/>
    </row>
    <row r="186" spans="1:64" ht="15">
      <c r="A186" s="20" t="s">
        <v>175</v>
      </c>
      <c r="B186" s="3" t="s">
        <v>338</v>
      </c>
      <c r="C186" s="618" t="s">
        <v>339</v>
      </c>
      <c r="D186" s="608"/>
      <c r="E186" s="3" t="s">
        <v>260</v>
      </c>
      <c r="F186" s="21">
        <v>7</v>
      </c>
      <c r="G186" s="537"/>
      <c r="H186" s="21">
        <f>F186*AO186</f>
        <v>0</v>
      </c>
      <c r="I186" s="21">
        <f>F186*AP186</f>
        <v>0</v>
      </c>
      <c r="J186" s="21">
        <f>F186*G186</f>
        <v>0</v>
      </c>
      <c r="K186" s="21">
        <v>0.0055</v>
      </c>
      <c r="L186" s="21">
        <f>F186*K186</f>
        <v>0.0385</v>
      </c>
      <c r="M186" s="22" t="s">
        <v>55</v>
      </c>
      <c r="N186" s="2"/>
      <c r="Z186" s="21">
        <f>IF(AQ186="5",BJ186,0)</f>
        <v>0</v>
      </c>
      <c r="AB186" s="21">
        <f>IF(AQ186="1",BH186,0)</f>
        <v>0</v>
      </c>
      <c r="AC186" s="21">
        <f>IF(AQ186="1",BI186,0)</f>
        <v>0</v>
      </c>
      <c r="AD186" s="21">
        <f>IF(AQ186="7",BH186,0)</f>
        <v>0</v>
      </c>
      <c r="AE186" s="21">
        <f>IF(AQ186="7",BI186,0)</f>
        <v>0</v>
      </c>
      <c r="AF186" s="21">
        <f>IF(AQ186="2",BH186,0)</f>
        <v>0</v>
      </c>
      <c r="AG186" s="21">
        <f>IF(AQ186="2",BI186,0)</f>
        <v>0</v>
      </c>
      <c r="AH186" s="21">
        <f>IF(AQ186="0",BJ186,0)</f>
        <v>0</v>
      </c>
      <c r="AI186" s="10"/>
      <c r="AJ186" s="21">
        <f>IF(AN186=0,J186,0)</f>
        <v>0</v>
      </c>
      <c r="AK186" s="21">
        <f>IF(AN186=15,J186,0)</f>
        <v>0</v>
      </c>
      <c r="AL186" s="21">
        <f>IF(AN186=21,J186,0)</f>
        <v>0</v>
      </c>
      <c r="AN186" s="21">
        <v>21</v>
      </c>
      <c r="AO186" s="21">
        <f>G186*1</f>
        <v>0</v>
      </c>
      <c r="AP186" s="21">
        <f>G186*(1-1)</f>
        <v>0</v>
      </c>
      <c r="AQ186" s="23" t="s">
        <v>51</v>
      </c>
      <c r="AV186" s="21">
        <f>AW186+AX186</f>
        <v>0</v>
      </c>
      <c r="AW186" s="21">
        <f>F186*AO186</f>
        <v>0</v>
      </c>
      <c r="AX186" s="21">
        <f>F186*AP186</f>
        <v>0</v>
      </c>
      <c r="AY186" s="23" t="s">
        <v>299</v>
      </c>
      <c r="AZ186" s="23" t="s">
        <v>300</v>
      </c>
      <c r="BA186" s="10" t="s">
        <v>58</v>
      </c>
      <c r="BC186" s="21">
        <f>AW186+AX186</f>
        <v>0</v>
      </c>
      <c r="BD186" s="21">
        <f>G186/(100-BE186)*100</f>
        <v>0</v>
      </c>
      <c r="BE186" s="21">
        <v>0</v>
      </c>
      <c r="BF186" s="21">
        <f>L186</f>
        <v>0.0385</v>
      </c>
      <c r="BH186" s="21">
        <f>F186*AO186</f>
        <v>0</v>
      </c>
      <c r="BI186" s="21">
        <f>F186*AP186</f>
        <v>0</v>
      </c>
      <c r="BJ186" s="21">
        <f>F186*G186</f>
        <v>0</v>
      </c>
      <c r="BK186" s="21" t="s">
        <v>201</v>
      </c>
      <c r="BL186" s="21">
        <v>91</v>
      </c>
    </row>
    <row r="187" spans="1:14" ht="15">
      <c r="A187" s="2"/>
      <c r="C187" s="24" t="s">
        <v>89</v>
      </c>
      <c r="D187" s="24"/>
      <c r="F187" s="25">
        <v>7</v>
      </c>
      <c r="M187" s="26"/>
      <c r="N187" s="2"/>
    </row>
    <row r="188" spans="1:14" ht="15">
      <c r="A188" s="2"/>
      <c r="B188" s="27" t="s">
        <v>61</v>
      </c>
      <c r="C188" s="634" t="s">
        <v>340</v>
      </c>
      <c r="D188" s="635"/>
      <c r="E188" s="635"/>
      <c r="F188" s="635"/>
      <c r="G188" s="635"/>
      <c r="H188" s="635"/>
      <c r="I188" s="635"/>
      <c r="J188" s="635"/>
      <c r="K188" s="635"/>
      <c r="L188" s="635"/>
      <c r="M188" s="636"/>
      <c r="N188" s="2"/>
    </row>
    <row r="189" spans="1:64" ht="15">
      <c r="A189" s="20" t="s">
        <v>341</v>
      </c>
      <c r="B189" s="3" t="s">
        <v>342</v>
      </c>
      <c r="C189" s="618" t="s">
        <v>343</v>
      </c>
      <c r="D189" s="608"/>
      <c r="E189" s="3" t="s">
        <v>260</v>
      </c>
      <c r="F189" s="21">
        <v>2</v>
      </c>
      <c r="G189" s="537"/>
      <c r="H189" s="21">
        <f>F189*AO189</f>
        <v>0</v>
      </c>
      <c r="I189" s="21">
        <f>F189*AP189</f>
        <v>0</v>
      </c>
      <c r="J189" s="21">
        <f>F189*G189</f>
        <v>0</v>
      </c>
      <c r="K189" s="21">
        <v>0.007</v>
      </c>
      <c r="L189" s="21">
        <f>F189*K189</f>
        <v>0.014</v>
      </c>
      <c r="M189" s="22" t="s">
        <v>55</v>
      </c>
      <c r="N189" s="2"/>
      <c r="Z189" s="21">
        <f>IF(AQ189="5",BJ189,0)</f>
        <v>0</v>
      </c>
      <c r="AB189" s="21">
        <f>IF(AQ189="1",BH189,0)</f>
        <v>0</v>
      </c>
      <c r="AC189" s="21">
        <f>IF(AQ189="1",BI189,0)</f>
        <v>0</v>
      </c>
      <c r="AD189" s="21">
        <f>IF(AQ189="7",BH189,0)</f>
        <v>0</v>
      </c>
      <c r="AE189" s="21">
        <f>IF(AQ189="7",BI189,0)</f>
        <v>0</v>
      </c>
      <c r="AF189" s="21">
        <f>IF(AQ189="2",BH189,0)</f>
        <v>0</v>
      </c>
      <c r="AG189" s="21">
        <f>IF(AQ189="2",BI189,0)</f>
        <v>0</v>
      </c>
      <c r="AH189" s="21">
        <f>IF(AQ189="0",BJ189,0)</f>
        <v>0</v>
      </c>
      <c r="AI189" s="10"/>
      <c r="AJ189" s="21">
        <f>IF(AN189=0,J189,0)</f>
        <v>0</v>
      </c>
      <c r="AK189" s="21">
        <f>IF(AN189=15,J189,0)</f>
        <v>0</v>
      </c>
      <c r="AL189" s="21">
        <f>IF(AN189=21,J189,0)</f>
        <v>0</v>
      </c>
      <c r="AN189" s="21">
        <v>21</v>
      </c>
      <c r="AO189" s="21">
        <f>G189*1</f>
        <v>0</v>
      </c>
      <c r="AP189" s="21">
        <f>G189*(1-1)</f>
        <v>0</v>
      </c>
      <c r="AQ189" s="23" t="s">
        <v>51</v>
      </c>
      <c r="AV189" s="21">
        <f>AW189+AX189</f>
        <v>0</v>
      </c>
      <c r="AW189" s="21">
        <f>F189*AO189</f>
        <v>0</v>
      </c>
      <c r="AX189" s="21">
        <f>F189*AP189</f>
        <v>0</v>
      </c>
      <c r="AY189" s="23" t="s">
        <v>299</v>
      </c>
      <c r="AZ189" s="23" t="s">
        <v>300</v>
      </c>
      <c r="BA189" s="10" t="s">
        <v>58</v>
      </c>
      <c r="BC189" s="21">
        <f>AW189+AX189</f>
        <v>0</v>
      </c>
      <c r="BD189" s="21">
        <f>G189/(100-BE189)*100</f>
        <v>0</v>
      </c>
      <c r="BE189" s="21">
        <v>0</v>
      </c>
      <c r="BF189" s="21">
        <f>L189</f>
        <v>0.014</v>
      </c>
      <c r="BH189" s="21">
        <f>F189*AO189</f>
        <v>0</v>
      </c>
      <c r="BI189" s="21">
        <f>F189*AP189</f>
        <v>0</v>
      </c>
      <c r="BJ189" s="21">
        <f>F189*G189</f>
        <v>0</v>
      </c>
      <c r="BK189" s="21" t="s">
        <v>201</v>
      </c>
      <c r="BL189" s="21">
        <v>91</v>
      </c>
    </row>
    <row r="190" spans="1:14" ht="15">
      <c r="A190" s="2"/>
      <c r="C190" s="24" t="s">
        <v>63</v>
      </c>
      <c r="D190" s="24" t="s">
        <v>344</v>
      </c>
      <c r="F190" s="25">
        <v>2</v>
      </c>
      <c r="M190" s="26"/>
      <c r="N190" s="2"/>
    </row>
    <row r="191" spans="1:14" ht="25.65" customHeight="1">
      <c r="A191" s="2"/>
      <c r="B191" s="27" t="s">
        <v>61</v>
      </c>
      <c r="C191" s="634" t="s">
        <v>345</v>
      </c>
      <c r="D191" s="635"/>
      <c r="E191" s="635"/>
      <c r="F191" s="635"/>
      <c r="G191" s="635"/>
      <c r="H191" s="635"/>
      <c r="I191" s="635"/>
      <c r="J191" s="635"/>
      <c r="K191" s="635"/>
      <c r="L191" s="635"/>
      <c r="M191" s="636"/>
      <c r="N191" s="2"/>
    </row>
    <row r="192" spans="1:64" ht="15">
      <c r="A192" s="20" t="s">
        <v>185</v>
      </c>
      <c r="B192" s="3" t="s">
        <v>346</v>
      </c>
      <c r="C192" s="618" t="s">
        <v>347</v>
      </c>
      <c r="D192" s="608"/>
      <c r="E192" s="3" t="s">
        <v>260</v>
      </c>
      <c r="F192" s="21">
        <v>3</v>
      </c>
      <c r="G192" s="537"/>
      <c r="H192" s="21">
        <f>F192*AO192</f>
        <v>0</v>
      </c>
      <c r="I192" s="21">
        <f>F192*AP192</f>
        <v>0</v>
      </c>
      <c r="J192" s="21">
        <f>F192*G192</f>
        <v>0</v>
      </c>
      <c r="K192" s="21">
        <v>0.0051</v>
      </c>
      <c r="L192" s="21">
        <f>F192*K192</f>
        <v>0.015300000000000001</v>
      </c>
      <c r="M192" s="22" t="s">
        <v>55</v>
      </c>
      <c r="N192" s="2"/>
      <c r="Z192" s="21">
        <f>IF(AQ192="5",BJ192,0)</f>
        <v>0</v>
      </c>
      <c r="AB192" s="21">
        <f>IF(AQ192="1",BH192,0)</f>
        <v>0</v>
      </c>
      <c r="AC192" s="21">
        <f>IF(AQ192="1",BI192,0)</f>
        <v>0</v>
      </c>
      <c r="AD192" s="21">
        <f>IF(AQ192="7",BH192,0)</f>
        <v>0</v>
      </c>
      <c r="AE192" s="21">
        <f>IF(AQ192="7",BI192,0)</f>
        <v>0</v>
      </c>
      <c r="AF192" s="21">
        <f>IF(AQ192="2",BH192,0)</f>
        <v>0</v>
      </c>
      <c r="AG192" s="21">
        <f>IF(AQ192="2",BI192,0)</f>
        <v>0</v>
      </c>
      <c r="AH192" s="21">
        <f>IF(AQ192="0",BJ192,0)</f>
        <v>0</v>
      </c>
      <c r="AI192" s="10"/>
      <c r="AJ192" s="21">
        <f>IF(AN192=0,J192,0)</f>
        <v>0</v>
      </c>
      <c r="AK192" s="21">
        <f>IF(AN192=15,J192,0)</f>
        <v>0</v>
      </c>
      <c r="AL192" s="21">
        <f>IF(AN192=21,J192,0)</f>
        <v>0</v>
      </c>
      <c r="AN192" s="21">
        <v>21</v>
      </c>
      <c r="AO192" s="21">
        <f>G192*1</f>
        <v>0</v>
      </c>
      <c r="AP192" s="21">
        <f>G192*(1-1)</f>
        <v>0</v>
      </c>
      <c r="AQ192" s="23" t="s">
        <v>51</v>
      </c>
      <c r="AV192" s="21">
        <f>AW192+AX192</f>
        <v>0</v>
      </c>
      <c r="AW192" s="21">
        <f>F192*AO192</f>
        <v>0</v>
      </c>
      <c r="AX192" s="21">
        <f>F192*AP192</f>
        <v>0</v>
      </c>
      <c r="AY192" s="23" t="s">
        <v>299</v>
      </c>
      <c r="AZ192" s="23" t="s">
        <v>300</v>
      </c>
      <c r="BA192" s="10" t="s">
        <v>58</v>
      </c>
      <c r="BC192" s="21">
        <f>AW192+AX192</f>
        <v>0</v>
      </c>
      <c r="BD192" s="21">
        <f>G192/(100-BE192)*100</f>
        <v>0</v>
      </c>
      <c r="BE192" s="21">
        <v>0</v>
      </c>
      <c r="BF192" s="21">
        <f>L192</f>
        <v>0.015300000000000001</v>
      </c>
      <c r="BH192" s="21">
        <f>F192*AO192</f>
        <v>0</v>
      </c>
      <c r="BI192" s="21">
        <f>F192*AP192</f>
        <v>0</v>
      </c>
      <c r="BJ192" s="21">
        <f>F192*G192</f>
        <v>0</v>
      </c>
      <c r="BK192" s="21" t="s">
        <v>201</v>
      </c>
      <c r="BL192" s="21">
        <v>91</v>
      </c>
    </row>
    <row r="193" spans="1:14" ht="15">
      <c r="A193" s="2"/>
      <c r="C193" s="24" t="s">
        <v>67</v>
      </c>
      <c r="D193" s="24"/>
      <c r="F193" s="25">
        <v>3</v>
      </c>
      <c r="M193" s="26"/>
      <c r="N193" s="2"/>
    </row>
    <row r="194" spans="1:14" ht="25.65" customHeight="1">
      <c r="A194" s="2"/>
      <c r="B194" s="27" t="s">
        <v>61</v>
      </c>
      <c r="C194" s="634" t="s">
        <v>345</v>
      </c>
      <c r="D194" s="635"/>
      <c r="E194" s="635"/>
      <c r="F194" s="635"/>
      <c r="G194" s="635"/>
      <c r="H194" s="635"/>
      <c r="I194" s="635"/>
      <c r="J194" s="635"/>
      <c r="K194" s="635"/>
      <c r="L194" s="635"/>
      <c r="M194" s="636"/>
      <c r="N194" s="2"/>
    </row>
    <row r="195" spans="1:64" ht="15">
      <c r="A195" s="20" t="s">
        <v>348</v>
      </c>
      <c r="B195" s="3" t="s">
        <v>349</v>
      </c>
      <c r="C195" s="618" t="s">
        <v>350</v>
      </c>
      <c r="D195" s="608"/>
      <c r="E195" s="3" t="s">
        <v>260</v>
      </c>
      <c r="F195" s="21">
        <v>1</v>
      </c>
      <c r="G195" s="537"/>
      <c r="H195" s="21">
        <f>F195*AO195</f>
        <v>0</v>
      </c>
      <c r="I195" s="21">
        <f>F195*AP195</f>
        <v>0</v>
      </c>
      <c r="J195" s="21">
        <f>F195*G195</f>
        <v>0</v>
      </c>
      <c r="K195" s="21">
        <v>0.0051</v>
      </c>
      <c r="L195" s="21">
        <f>F195*K195</f>
        <v>0.0051</v>
      </c>
      <c r="M195" s="22" t="s">
        <v>55</v>
      </c>
      <c r="N195" s="2"/>
      <c r="Z195" s="21">
        <f>IF(AQ195="5",BJ195,0)</f>
        <v>0</v>
      </c>
      <c r="AB195" s="21">
        <f>IF(AQ195="1",BH195,0)</f>
        <v>0</v>
      </c>
      <c r="AC195" s="21">
        <f>IF(AQ195="1",BI195,0)</f>
        <v>0</v>
      </c>
      <c r="AD195" s="21">
        <f>IF(AQ195="7",BH195,0)</f>
        <v>0</v>
      </c>
      <c r="AE195" s="21">
        <f>IF(AQ195="7",BI195,0)</f>
        <v>0</v>
      </c>
      <c r="AF195" s="21">
        <f>IF(AQ195="2",BH195,0)</f>
        <v>0</v>
      </c>
      <c r="AG195" s="21">
        <f>IF(AQ195="2",BI195,0)</f>
        <v>0</v>
      </c>
      <c r="AH195" s="21">
        <f>IF(AQ195="0",BJ195,0)</f>
        <v>0</v>
      </c>
      <c r="AI195" s="10"/>
      <c r="AJ195" s="21">
        <f>IF(AN195=0,J195,0)</f>
        <v>0</v>
      </c>
      <c r="AK195" s="21">
        <f>IF(AN195=15,J195,0)</f>
        <v>0</v>
      </c>
      <c r="AL195" s="21">
        <f>IF(AN195=21,J195,0)</f>
        <v>0</v>
      </c>
      <c r="AN195" s="21">
        <v>21</v>
      </c>
      <c r="AO195" s="21">
        <f>G195*1</f>
        <v>0</v>
      </c>
      <c r="AP195" s="21">
        <f>G195*(1-1)</f>
        <v>0</v>
      </c>
      <c r="AQ195" s="23" t="s">
        <v>51</v>
      </c>
      <c r="AV195" s="21">
        <f>AW195+AX195</f>
        <v>0</v>
      </c>
      <c r="AW195" s="21">
        <f>F195*AO195</f>
        <v>0</v>
      </c>
      <c r="AX195" s="21">
        <f>F195*AP195</f>
        <v>0</v>
      </c>
      <c r="AY195" s="23" t="s">
        <v>299</v>
      </c>
      <c r="AZ195" s="23" t="s">
        <v>300</v>
      </c>
      <c r="BA195" s="10" t="s">
        <v>58</v>
      </c>
      <c r="BC195" s="21">
        <f>AW195+AX195</f>
        <v>0</v>
      </c>
      <c r="BD195" s="21">
        <f>G195/(100-BE195)*100</f>
        <v>0</v>
      </c>
      <c r="BE195" s="21">
        <v>0</v>
      </c>
      <c r="BF195" s="21">
        <f>L195</f>
        <v>0.0051</v>
      </c>
      <c r="BH195" s="21">
        <f>F195*AO195</f>
        <v>0</v>
      </c>
      <c r="BI195" s="21">
        <f>F195*AP195</f>
        <v>0</v>
      </c>
      <c r="BJ195" s="21">
        <f>F195*G195</f>
        <v>0</v>
      </c>
      <c r="BK195" s="21" t="s">
        <v>201</v>
      </c>
      <c r="BL195" s="21">
        <v>91</v>
      </c>
    </row>
    <row r="196" spans="1:14" ht="15">
      <c r="A196" s="2"/>
      <c r="C196" s="24" t="s">
        <v>51</v>
      </c>
      <c r="D196" s="24"/>
      <c r="F196" s="25">
        <v>1</v>
      </c>
      <c r="M196" s="26"/>
      <c r="N196" s="2"/>
    </row>
    <row r="197" spans="1:14" ht="25.65" customHeight="1">
      <c r="A197" s="2"/>
      <c r="B197" s="27" t="s">
        <v>61</v>
      </c>
      <c r="C197" s="634" t="s">
        <v>351</v>
      </c>
      <c r="D197" s="635"/>
      <c r="E197" s="635"/>
      <c r="F197" s="635"/>
      <c r="G197" s="635"/>
      <c r="H197" s="635"/>
      <c r="I197" s="635"/>
      <c r="J197" s="635"/>
      <c r="K197" s="635"/>
      <c r="L197" s="635"/>
      <c r="M197" s="636"/>
      <c r="N197" s="2"/>
    </row>
    <row r="198" spans="1:64" ht="15">
      <c r="A198" s="20" t="s">
        <v>352</v>
      </c>
      <c r="B198" s="3" t="s">
        <v>353</v>
      </c>
      <c r="C198" s="618" t="s">
        <v>354</v>
      </c>
      <c r="D198" s="608"/>
      <c r="E198" s="3" t="s">
        <v>260</v>
      </c>
      <c r="F198" s="21">
        <v>1</v>
      </c>
      <c r="G198" s="537"/>
      <c r="H198" s="21">
        <f>F198*AO198</f>
        <v>0</v>
      </c>
      <c r="I198" s="21">
        <f>F198*AP198</f>
        <v>0</v>
      </c>
      <c r="J198" s="21">
        <f>F198*G198</f>
        <v>0</v>
      </c>
      <c r="K198" s="21">
        <v>0.0051</v>
      </c>
      <c r="L198" s="21">
        <f>F198*K198</f>
        <v>0.0051</v>
      </c>
      <c r="M198" s="22" t="s">
        <v>55</v>
      </c>
      <c r="N198" s="2"/>
      <c r="Z198" s="21">
        <f>IF(AQ198="5",BJ198,0)</f>
        <v>0</v>
      </c>
      <c r="AB198" s="21">
        <f>IF(AQ198="1",BH198,0)</f>
        <v>0</v>
      </c>
      <c r="AC198" s="21">
        <f>IF(AQ198="1",BI198,0)</f>
        <v>0</v>
      </c>
      <c r="AD198" s="21">
        <f>IF(AQ198="7",BH198,0)</f>
        <v>0</v>
      </c>
      <c r="AE198" s="21">
        <f>IF(AQ198="7",BI198,0)</f>
        <v>0</v>
      </c>
      <c r="AF198" s="21">
        <f>IF(AQ198="2",BH198,0)</f>
        <v>0</v>
      </c>
      <c r="AG198" s="21">
        <f>IF(AQ198="2",BI198,0)</f>
        <v>0</v>
      </c>
      <c r="AH198" s="21">
        <f>IF(AQ198="0",BJ198,0)</f>
        <v>0</v>
      </c>
      <c r="AI198" s="10"/>
      <c r="AJ198" s="21">
        <f>IF(AN198=0,J198,0)</f>
        <v>0</v>
      </c>
      <c r="AK198" s="21">
        <f>IF(AN198=15,J198,0)</f>
        <v>0</v>
      </c>
      <c r="AL198" s="21">
        <f>IF(AN198=21,J198,0)</f>
        <v>0</v>
      </c>
      <c r="AN198" s="21">
        <v>21</v>
      </c>
      <c r="AO198" s="21">
        <f>G198*1</f>
        <v>0</v>
      </c>
      <c r="AP198" s="21">
        <f>G198*(1-1)</f>
        <v>0</v>
      </c>
      <c r="AQ198" s="23" t="s">
        <v>51</v>
      </c>
      <c r="AV198" s="21">
        <f>AW198+AX198</f>
        <v>0</v>
      </c>
      <c r="AW198" s="21">
        <f>F198*AO198</f>
        <v>0</v>
      </c>
      <c r="AX198" s="21">
        <f>F198*AP198</f>
        <v>0</v>
      </c>
      <c r="AY198" s="23" t="s">
        <v>299</v>
      </c>
      <c r="AZ198" s="23" t="s">
        <v>300</v>
      </c>
      <c r="BA198" s="10" t="s">
        <v>58</v>
      </c>
      <c r="BC198" s="21">
        <f>AW198+AX198</f>
        <v>0</v>
      </c>
      <c r="BD198" s="21">
        <f>G198/(100-BE198)*100</f>
        <v>0</v>
      </c>
      <c r="BE198" s="21">
        <v>0</v>
      </c>
      <c r="BF198" s="21">
        <f>L198</f>
        <v>0.0051</v>
      </c>
      <c r="BH198" s="21">
        <f>F198*AO198</f>
        <v>0</v>
      </c>
      <c r="BI198" s="21">
        <f>F198*AP198</f>
        <v>0</v>
      </c>
      <c r="BJ198" s="21">
        <f>F198*G198</f>
        <v>0</v>
      </c>
      <c r="BK198" s="21" t="s">
        <v>201</v>
      </c>
      <c r="BL198" s="21">
        <v>91</v>
      </c>
    </row>
    <row r="199" spans="1:14" ht="15">
      <c r="A199" s="2"/>
      <c r="C199" s="24" t="s">
        <v>51</v>
      </c>
      <c r="D199" s="24"/>
      <c r="F199" s="25">
        <v>1</v>
      </c>
      <c r="M199" s="26"/>
      <c r="N199" s="2"/>
    </row>
    <row r="200" spans="1:14" ht="25.65" customHeight="1">
      <c r="A200" s="2"/>
      <c r="B200" s="27" t="s">
        <v>61</v>
      </c>
      <c r="C200" s="634" t="s">
        <v>355</v>
      </c>
      <c r="D200" s="635"/>
      <c r="E200" s="635"/>
      <c r="F200" s="635"/>
      <c r="G200" s="635"/>
      <c r="H200" s="635"/>
      <c r="I200" s="635"/>
      <c r="J200" s="635"/>
      <c r="K200" s="635"/>
      <c r="L200" s="635"/>
      <c r="M200" s="636"/>
      <c r="N200" s="2"/>
    </row>
    <row r="201" spans="1:64" ht="15">
      <c r="A201" s="20" t="s">
        <v>356</v>
      </c>
      <c r="B201" s="3" t="s">
        <v>357</v>
      </c>
      <c r="C201" s="618" t="s">
        <v>358</v>
      </c>
      <c r="D201" s="608"/>
      <c r="E201" s="3" t="s">
        <v>260</v>
      </c>
      <c r="F201" s="21">
        <v>1</v>
      </c>
      <c r="G201" s="537"/>
      <c r="H201" s="21">
        <f>F201*AO201</f>
        <v>0</v>
      </c>
      <c r="I201" s="21">
        <f>F201*AP201</f>
        <v>0</v>
      </c>
      <c r="J201" s="21">
        <f>F201*G201</f>
        <v>0</v>
      </c>
      <c r="K201" s="21">
        <v>0.0151</v>
      </c>
      <c r="L201" s="21">
        <f>F201*K201</f>
        <v>0.0151</v>
      </c>
      <c r="M201" s="22" t="s">
        <v>55</v>
      </c>
      <c r="N201" s="2"/>
      <c r="Z201" s="21">
        <f>IF(AQ201="5",BJ201,0)</f>
        <v>0</v>
      </c>
      <c r="AB201" s="21">
        <f>IF(AQ201="1",BH201,0)</f>
        <v>0</v>
      </c>
      <c r="AC201" s="21">
        <f>IF(AQ201="1",BI201,0)</f>
        <v>0</v>
      </c>
      <c r="AD201" s="21">
        <f>IF(AQ201="7",BH201,0)</f>
        <v>0</v>
      </c>
      <c r="AE201" s="21">
        <f>IF(AQ201="7",BI201,0)</f>
        <v>0</v>
      </c>
      <c r="AF201" s="21">
        <f>IF(AQ201="2",BH201,0)</f>
        <v>0</v>
      </c>
      <c r="AG201" s="21">
        <f>IF(AQ201="2",BI201,0)</f>
        <v>0</v>
      </c>
      <c r="AH201" s="21">
        <f>IF(AQ201="0",BJ201,0)</f>
        <v>0</v>
      </c>
      <c r="AI201" s="10"/>
      <c r="AJ201" s="21">
        <f>IF(AN201=0,J201,0)</f>
        <v>0</v>
      </c>
      <c r="AK201" s="21">
        <f>IF(AN201=15,J201,0)</f>
        <v>0</v>
      </c>
      <c r="AL201" s="21">
        <f>IF(AN201=21,J201,0)</f>
        <v>0</v>
      </c>
      <c r="AN201" s="21">
        <v>21</v>
      </c>
      <c r="AO201" s="21">
        <f>G201*1</f>
        <v>0</v>
      </c>
      <c r="AP201" s="21">
        <f>G201*(1-1)</f>
        <v>0</v>
      </c>
      <c r="AQ201" s="23" t="s">
        <v>51</v>
      </c>
      <c r="AV201" s="21">
        <f>AW201+AX201</f>
        <v>0</v>
      </c>
      <c r="AW201" s="21">
        <f>F201*AO201</f>
        <v>0</v>
      </c>
      <c r="AX201" s="21">
        <f>F201*AP201</f>
        <v>0</v>
      </c>
      <c r="AY201" s="23" t="s">
        <v>299</v>
      </c>
      <c r="AZ201" s="23" t="s">
        <v>300</v>
      </c>
      <c r="BA201" s="10" t="s">
        <v>58</v>
      </c>
      <c r="BC201" s="21">
        <f>AW201+AX201</f>
        <v>0</v>
      </c>
      <c r="BD201" s="21">
        <f>G201/(100-BE201)*100</f>
        <v>0</v>
      </c>
      <c r="BE201" s="21">
        <v>0</v>
      </c>
      <c r="BF201" s="21">
        <f>L201</f>
        <v>0.0151</v>
      </c>
      <c r="BH201" s="21">
        <f>F201*AO201</f>
        <v>0</v>
      </c>
      <c r="BI201" s="21">
        <f>F201*AP201</f>
        <v>0</v>
      </c>
      <c r="BJ201" s="21">
        <f>F201*G201</f>
        <v>0</v>
      </c>
      <c r="BK201" s="21" t="s">
        <v>201</v>
      </c>
      <c r="BL201" s="21">
        <v>91</v>
      </c>
    </row>
    <row r="202" spans="1:14" ht="15">
      <c r="A202" s="2"/>
      <c r="C202" s="24" t="s">
        <v>51</v>
      </c>
      <c r="D202" s="24"/>
      <c r="F202" s="25">
        <v>1</v>
      </c>
      <c r="M202" s="26"/>
      <c r="N202" s="2"/>
    </row>
    <row r="203" spans="1:14" ht="25.65" customHeight="1">
      <c r="A203" s="2"/>
      <c r="B203" s="27" t="s">
        <v>61</v>
      </c>
      <c r="C203" s="634" t="s">
        <v>345</v>
      </c>
      <c r="D203" s="635"/>
      <c r="E203" s="635"/>
      <c r="F203" s="635"/>
      <c r="G203" s="635"/>
      <c r="H203" s="635"/>
      <c r="I203" s="635"/>
      <c r="J203" s="635"/>
      <c r="K203" s="635"/>
      <c r="L203" s="635"/>
      <c r="M203" s="636"/>
      <c r="N203" s="2"/>
    </row>
    <row r="204" spans="1:64" ht="15">
      <c r="A204" s="20" t="s">
        <v>359</v>
      </c>
      <c r="B204" s="3" t="s">
        <v>360</v>
      </c>
      <c r="C204" s="618" t="s">
        <v>361</v>
      </c>
      <c r="D204" s="608"/>
      <c r="E204" s="3" t="s">
        <v>260</v>
      </c>
      <c r="F204" s="21">
        <v>1</v>
      </c>
      <c r="G204" s="537"/>
      <c r="H204" s="21">
        <f>F204*AO204</f>
        <v>0</v>
      </c>
      <c r="I204" s="21">
        <f>F204*AP204</f>
        <v>0</v>
      </c>
      <c r="J204" s="21">
        <f>F204*G204</f>
        <v>0</v>
      </c>
      <c r="K204" s="21">
        <v>0.2266</v>
      </c>
      <c r="L204" s="21">
        <f>F204*K204</f>
        <v>0.2266</v>
      </c>
      <c r="M204" s="22" t="s">
        <v>55</v>
      </c>
      <c r="N204" s="2"/>
      <c r="Z204" s="21">
        <f>IF(AQ204="5",BJ204,0)</f>
        <v>0</v>
      </c>
      <c r="AB204" s="21">
        <f>IF(AQ204="1",BH204,0)</f>
        <v>0</v>
      </c>
      <c r="AC204" s="21">
        <f>IF(AQ204="1",BI204,0)</f>
        <v>0</v>
      </c>
      <c r="AD204" s="21">
        <f>IF(AQ204="7",BH204,0)</f>
        <v>0</v>
      </c>
      <c r="AE204" s="21">
        <f>IF(AQ204="7",BI204,0)</f>
        <v>0</v>
      </c>
      <c r="AF204" s="21">
        <f>IF(AQ204="2",BH204,0)</f>
        <v>0</v>
      </c>
      <c r="AG204" s="21">
        <f>IF(AQ204="2",BI204,0)</f>
        <v>0</v>
      </c>
      <c r="AH204" s="21">
        <f>IF(AQ204="0",BJ204,0)</f>
        <v>0</v>
      </c>
      <c r="AI204" s="10"/>
      <c r="AJ204" s="21">
        <f>IF(AN204=0,J204,0)</f>
        <v>0</v>
      </c>
      <c r="AK204" s="21">
        <f>IF(AN204=15,J204,0)</f>
        <v>0</v>
      </c>
      <c r="AL204" s="21">
        <f>IF(AN204=21,J204,0)</f>
        <v>0</v>
      </c>
      <c r="AN204" s="21">
        <v>21</v>
      </c>
      <c r="AO204" s="21">
        <f>G204*0.628404444444444</f>
        <v>0</v>
      </c>
      <c r="AP204" s="21">
        <f>G204*(1-0.628404444444444)</f>
        <v>0</v>
      </c>
      <c r="AQ204" s="23" t="s">
        <v>51</v>
      </c>
      <c r="AV204" s="21">
        <f>AW204+AX204</f>
        <v>0</v>
      </c>
      <c r="AW204" s="21">
        <f>F204*AO204</f>
        <v>0</v>
      </c>
      <c r="AX204" s="21">
        <f>F204*AP204</f>
        <v>0</v>
      </c>
      <c r="AY204" s="23" t="s">
        <v>299</v>
      </c>
      <c r="AZ204" s="23" t="s">
        <v>300</v>
      </c>
      <c r="BA204" s="10" t="s">
        <v>58</v>
      </c>
      <c r="BC204" s="21">
        <f>AW204+AX204</f>
        <v>0</v>
      </c>
      <c r="BD204" s="21">
        <f>G204/(100-BE204)*100</f>
        <v>0</v>
      </c>
      <c r="BE204" s="21">
        <v>0</v>
      </c>
      <c r="BF204" s="21">
        <f>L204</f>
        <v>0.2266</v>
      </c>
      <c r="BH204" s="21">
        <f>F204*AO204</f>
        <v>0</v>
      </c>
      <c r="BI204" s="21">
        <f>F204*AP204</f>
        <v>0</v>
      </c>
      <c r="BJ204" s="21">
        <f>F204*G204</f>
        <v>0</v>
      </c>
      <c r="BK204" s="21" t="s">
        <v>59</v>
      </c>
      <c r="BL204" s="21">
        <v>91</v>
      </c>
    </row>
    <row r="205" spans="1:14" ht="15">
      <c r="A205" s="2"/>
      <c r="C205" s="24" t="s">
        <v>51</v>
      </c>
      <c r="D205" s="24"/>
      <c r="F205" s="25">
        <v>1</v>
      </c>
      <c r="M205" s="26"/>
      <c r="N205" s="2"/>
    </row>
    <row r="206" spans="1:14" ht="15">
      <c r="A206" s="2"/>
      <c r="B206" s="27" t="s">
        <v>61</v>
      </c>
      <c r="C206" s="634" t="s">
        <v>362</v>
      </c>
      <c r="D206" s="635"/>
      <c r="E206" s="635"/>
      <c r="F206" s="635"/>
      <c r="G206" s="635"/>
      <c r="H206" s="635"/>
      <c r="I206" s="635"/>
      <c r="J206" s="635"/>
      <c r="K206" s="635"/>
      <c r="L206" s="635"/>
      <c r="M206" s="636"/>
      <c r="N206" s="2"/>
    </row>
    <row r="207" spans="1:64" ht="15">
      <c r="A207" s="20" t="s">
        <v>363</v>
      </c>
      <c r="B207" s="3" t="s">
        <v>364</v>
      </c>
      <c r="C207" s="618" t="s">
        <v>365</v>
      </c>
      <c r="D207" s="608"/>
      <c r="E207" s="3" t="s">
        <v>260</v>
      </c>
      <c r="F207" s="21">
        <v>2</v>
      </c>
      <c r="G207" s="537"/>
      <c r="H207" s="21">
        <f>F207*AO207</f>
        <v>0</v>
      </c>
      <c r="I207" s="21">
        <f>F207*AP207</f>
        <v>0</v>
      </c>
      <c r="J207" s="21">
        <f>F207*G207</f>
        <v>0</v>
      </c>
      <c r="K207" s="21">
        <v>0</v>
      </c>
      <c r="L207" s="21">
        <f>F207*K207</f>
        <v>0</v>
      </c>
      <c r="M207" s="22" t="s">
        <v>55</v>
      </c>
      <c r="N207" s="2"/>
      <c r="Z207" s="21">
        <f>IF(AQ207="5",BJ207,0)</f>
        <v>0</v>
      </c>
      <c r="AB207" s="21">
        <f>IF(AQ207="1",BH207,0)</f>
        <v>0</v>
      </c>
      <c r="AC207" s="21">
        <f>IF(AQ207="1",BI207,0)</f>
        <v>0</v>
      </c>
      <c r="AD207" s="21">
        <f>IF(AQ207="7",BH207,0)</f>
        <v>0</v>
      </c>
      <c r="AE207" s="21">
        <f>IF(AQ207="7",BI207,0)</f>
        <v>0</v>
      </c>
      <c r="AF207" s="21">
        <f>IF(AQ207="2",BH207,0)</f>
        <v>0</v>
      </c>
      <c r="AG207" s="21">
        <f>IF(AQ207="2",BI207,0)</f>
        <v>0</v>
      </c>
      <c r="AH207" s="21">
        <f>IF(AQ207="0",BJ207,0)</f>
        <v>0</v>
      </c>
      <c r="AI207" s="10"/>
      <c r="AJ207" s="21">
        <f>IF(AN207=0,J207,0)</f>
        <v>0</v>
      </c>
      <c r="AK207" s="21">
        <f>IF(AN207=15,J207,0)</f>
        <v>0</v>
      </c>
      <c r="AL207" s="21">
        <f>IF(AN207=21,J207,0)</f>
        <v>0</v>
      </c>
      <c r="AN207" s="21">
        <v>21</v>
      </c>
      <c r="AO207" s="21">
        <f>G207*0.642147039176392</f>
        <v>0</v>
      </c>
      <c r="AP207" s="21">
        <f>G207*(1-0.642147039176392)</f>
        <v>0</v>
      </c>
      <c r="AQ207" s="23" t="s">
        <v>51</v>
      </c>
      <c r="AV207" s="21">
        <f>AW207+AX207</f>
        <v>0</v>
      </c>
      <c r="AW207" s="21">
        <f>F207*AO207</f>
        <v>0</v>
      </c>
      <c r="AX207" s="21">
        <f>F207*AP207</f>
        <v>0</v>
      </c>
      <c r="AY207" s="23" t="s">
        <v>299</v>
      </c>
      <c r="AZ207" s="23" t="s">
        <v>300</v>
      </c>
      <c r="BA207" s="10" t="s">
        <v>58</v>
      </c>
      <c r="BC207" s="21">
        <f>AW207+AX207</f>
        <v>0</v>
      </c>
      <c r="BD207" s="21">
        <f>G207/(100-BE207)*100</f>
        <v>0</v>
      </c>
      <c r="BE207" s="21">
        <v>0</v>
      </c>
      <c r="BF207" s="21">
        <f>L207</f>
        <v>0</v>
      </c>
      <c r="BH207" s="21">
        <f>F207*AO207</f>
        <v>0</v>
      </c>
      <c r="BI207" s="21">
        <f>F207*AP207</f>
        <v>0</v>
      </c>
      <c r="BJ207" s="21">
        <f>F207*G207</f>
        <v>0</v>
      </c>
      <c r="BK207" s="21" t="s">
        <v>59</v>
      </c>
      <c r="BL207" s="21">
        <v>91</v>
      </c>
    </row>
    <row r="208" spans="1:14" ht="15">
      <c r="A208" s="2"/>
      <c r="C208" s="24" t="s">
        <v>63</v>
      </c>
      <c r="D208" s="24"/>
      <c r="F208" s="25">
        <v>2</v>
      </c>
      <c r="M208" s="26"/>
      <c r="N208" s="2"/>
    </row>
    <row r="209" spans="1:14" ht="15">
      <c r="A209" s="2"/>
      <c r="B209" s="27" t="s">
        <v>61</v>
      </c>
      <c r="C209" s="634" t="s">
        <v>366</v>
      </c>
      <c r="D209" s="635"/>
      <c r="E209" s="635"/>
      <c r="F209" s="635"/>
      <c r="G209" s="635"/>
      <c r="H209" s="635"/>
      <c r="I209" s="635"/>
      <c r="J209" s="635"/>
      <c r="K209" s="635"/>
      <c r="L209" s="635"/>
      <c r="M209" s="636"/>
      <c r="N209" s="2"/>
    </row>
    <row r="210" spans="1:47" ht="15">
      <c r="A210" s="41"/>
      <c r="B210" s="42" t="s">
        <v>367</v>
      </c>
      <c r="C210" s="637" t="s">
        <v>368</v>
      </c>
      <c r="D210" s="638"/>
      <c r="E210" s="43" t="s">
        <v>4</v>
      </c>
      <c r="F210" s="43" t="s">
        <v>4</v>
      </c>
      <c r="G210" s="43" t="s">
        <v>4</v>
      </c>
      <c r="H210" s="44">
        <f>SUM(H211:H211)</f>
        <v>0</v>
      </c>
      <c r="I210" s="44">
        <f>SUM(I211:I211)</f>
        <v>0</v>
      </c>
      <c r="J210" s="44">
        <f>SUM(J211:J211)</f>
        <v>0</v>
      </c>
      <c r="K210" s="45"/>
      <c r="L210" s="44">
        <f>SUM(L211:L211)</f>
        <v>0</v>
      </c>
      <c r="M210" s="46"/>
      <c r="N210" s="2"/>
      <c r="AI210" s="10"/>
      <c r="AS210" s="19">
        <f>SUM(AJ211:AJ211)</f>
        <v>0</v>
      </c>
      <c r="AT210" s="19">
        <f>SUM(AK211:AK211)</f>
        <v>0</v>
      </c>
      <c r="AU210" s="19">
        <f>SUM(AL211:AL211)</f>
        <v>0</v>
      </c>
    </row>
    <row r="211" spans="1:64" ht="15">
      <c r="A211" s="20" t="s">
        <v>369</v>
      </c>
      <c r="B211" s="3" t="s">
        <v>370</v>
      </c>
      <c r="C211" s="618" t="s">
        <v>371</v>
      </c>
      <c r="D211" s="608"/>
      <c r="E211" s="3" t="s">
        <v>54</v>
      </c>
      <c r="F211" s="21">
        <v>11.2</v>
      </c>
      <c r="G211" s="537"/>
      <c r="H211" s="21">
        <f>F211*AO211</f>
        <v>0</v>
      </c>
      <c r="I211" s="21">
        <f>F211*AP211</f>
        <v>0</v>
      </c>
      <c r="J211" s="21">
        <f>F211*G211</f>
        <v>0</v>
      </c>
      <c r="K211" s="21">
        <v>0</v>
      </c>
      <c r="L211" s="21">
        <f>F211*K211</f>
        <v>0</v>
      </c>
      <c r="M211" s="22" t="s">
        <v>55</v>
      </c>
      <c r="N211" s="2"/>
      <c r="Z211" s="21">
        <f>IF(AQ211="5",BJ211,0)</f>
        <v>0</v>
      </c>
      <c r="AB211" s="21">
        <f>IF(AQ211="1",BH211,0)</f>
        <v>0</v>
      </c>
      <c r="AC211" s="21">
        <f>IF(AQ211="1",BI211,0)</f>
        <v>0</v>
      </c>
      <c r="AD211" s="21">
        <f>IF(AQ211="7",BH211,0)</f>
        <v>0</v>
      </c>
      <c r="AE211" s="21">
        <f>IF(AQ211="7",BI211,0)</f>
        <v>0</v>
      </c>
      <c r="AF211" s="21">
        <f>IF(AQ211="2",BH211,0)</f>
        <v>0</v>
      </c>
      <c r="AG211" s="21">
        <f>IF(AQ211="2",BI211,0)</f>
        <v>0</v>
      </c>
      <c r="AH211" s="21">
        <f>IF(AQ211="0",BJ211,0)</f>
        <v>0</v>
      </c>
      <c r="AI211" s="10"/>
      <c r="AJ211" s="21">
        <f>IF(AN211=0,J211,0)</f>
        <v>0</v>
      </c>
      <c r="AK211" s="21">
        <f>IF(AN211=15,J211,0)</f>
        <v>0</v>
      </c>
      <c r="AL211" s="21">
        <f>IF(AN211=21,J211,0)</f>
        <v>0</v>
      </c>
      <c r="AN211" s="21">
        <v>21</v>
      </c>
      <c r="AO211" s="21">
        <f>G211*0</f>
        <v>0</v>
      </c>
      <c r="AP211" s="21">
        <f>G211*(1-0)</f>
        <v>0</v>
      </c>
      <c r="AQ211" s="23" t="s">
        <v>51</v>
      </c>
      <c r="AV211" s="21">
        <f>AW211+AX211</f>
        <v>0</v>
      </c>
      <c r="AW211" s="21">
        <f>F211*AO211</f>
        <v>0</v>
      </c>
      <c r="AX211" s="21">
        <f>F211*AP211</f>
        <v>0</v>
      </c>
      <c r="AY211" s="23" t="s">
        <v>372</v>
      </c>
      <c r="AZ211" s="23" t="s">
        <v>300</v>
      </c>
      <c r="BA211" s="10" t="s">
        <v>58</v>
      </c>
      <c r="BC211" s="21">
        <f>AW211+AX211</f>
        <v>0</v>
      </c>
      <c r="BD211" s="21">
        <f>G211/(100-BE211)*100</f>
        <v>0</v>
      </c>
      <c r="BE211" s="21">
        <v>0</v>
      </c>
      <c r="BF211" s="21">
        <f>L211</f>
        <v>0</v>
      </c>
      <c r="BH211" s="21">
        <f>F211*AO211</f>
        <v>0</v>
      </c>
      <c r="BI211" s="21">
        <f>F211*AP211</f>
        <v>0</v>
      </c>
      <c r="BJ211" s="21">
        <f>F211*G211</f>
        <v>0</v>
      </c>
      <c r="BK211" s="21" t="s">
        <v>59</v>
      </c>
      <c r="BL211" s="21">
        <v>97</v>
      </c>
    </row>
    <row r="212" spans="1:14" ht="15">
      <c r="A212" s="2"/>
      <c r="C212" s="24" t="s">
        <v>373</v>
      </c>
      <c r="D212" s="24" t="s">
        <v>374</v>
      </c>
      <c r="F212" s="25">
        <v>11.2</v>
      </c>
      <c r="M212" s="26"/>
      <c r="N212" s="2"/>
    </row>
    <row r="213" spans="1:47" ht="15">
      <c r="A213" s="41"/>
      <c r="B213" s="42" t="s">
        <v>375</v>
      </c>
      <c r="C213" s="637" t="s">
        <v>376</v>
      </c>
      <c r="D213" s="638"/>
      <c r="E213" s="43" t="s">
        <v>4</v>
      </c>
      <c r="F213" s="43" t="s">
        <v>4</v>
      </c>
      <c r="G213" s="43" t="s">
        <v>4</v>
      </c>
      <c r="H213" s="44">
        <f>SUM(H214:H220)</f>
        <v>0</v>
      </c>
      <c r="I213" s="44">
        <f>SUM(I214:I220)</f>
        <v>0</v>
      </c>
      <c r="J213" s="44">
        <f>SUM(J214:J220)</f>
        <v>0</v>
      </c>
      <c r="K213" s="45"/>
      <c r="L213" s="44">
        <f>SUM(L214:L220)</f>
        <v>0</v>
      </c>
      <c r="M213" s="46"/>
      <c r="N213" s="2"/>
      <c r="AI213" s="10"/>
      <c r="AS213" s="19">
        <f>SUM(AJ214:AJ220)</f>
        <v>0</v>
      </c>
      <c r="AT213" s="19">
        <f>SUM(AK214:AK220)</f>
        <v>0</v>
      </c>
      <c r="AU213" s="19">
        <f>SUM(AL214:AL220)</f>
        <v>0</v>
      </c>
    </row>
    <row r="214" spans="1:64" ht="15">
      <c r="A214" s="20" t="s">
        <v>377</v>
      </c>
      <c r="B214" s="3" t="s">
        <v>378</v>
      </c>
      <c r="C214" s="618" t="s">
        <v>379</v>
      </c>
      <c r="D214" s="608"/>
      <c r="E214" s="3" t="s">
        <v>125</v>
      </c>
      <c r="F214" s="21">
        <v>205.155</v>
      </c>
      <c r="G214" s="537"/>
      <c r="H214" s="21">
        <f>F214*AO214</f>
        <v>0</v>
      </c>
      <c r="I214" s="21">
        <f>F214*AP214</f>
        <v>0</v>
      </c>
      <c r="J214" s="21">
        <f>F214*G214</f>
        <v>0</v>
      </c>
      <c r="K214" s="21">
        <v>0</v>
      </c>
      <c r="L214" s="21">
        <f>F214*K214</f>
        <v>0</v>
      </c>
      <c r="M214" s="22" t="s">
        <v>55</v>
      </c>
      <c r="N214" s="2"/>
      <c r="Z214" s="21">
        <f>IF(AQ214="5",BJ214,0)</f>
        <v>0</v>
      </c>
      <c r="AB214" s="21">
        <f>IF(AQ214="1",BH214,0)</f>
        <v>0</v>
      </c>
      <c r="AC214" s="21">
        <f>IF(AQ214="1",BI214,0)</f>
        <v>0</v>
      </c>
      <c r="AD214" s="21">
        <f>IF(AQ214="7",BH214,0)</f>
        <v>0</v>
      </c>
      <c r="AE214" s="21">
        <f>IF(AQ214="7",BI214,0)</f>
        <v>0</v>
      </c>
      <c r="AF214" s="21">
        <f>IF(AQ214="2",BH214,0)</f>
        <v>0</v>
      </c>
      <c r="AG214" s="21">
        <f>IF(AQ214="2",BI214,0)</f>
        <v>0</v>
      </c>
      <c r="AH214" s="21">
        <f>IF(AQ214="0",BJ214,0)</f>
        <v>0</v>
      </c>
      <c r="AI214" s="10"/>
      <c r="AJ214" s="21">
        <f>IF(AN214=0,J214,0)</f>
        <v>0</v>
      </c>
      <c r="AK214" s="21">
        <f>IF(AN214=15,J214,0)</f>
        <v>0</v>
      </c>
      <c r="AL214" s="21">
        <f>IF(AN214=21,J214,0)</f>
        <v>0</v>
      </c>
      <c r="AN214" s="21">
        <v>21</v>
      </c>
      <c r="AO214" s="21">
        <f>G214*0.0129981372126849</f>
        <v>0</v>
      </c>
      <c r="AP214" s="21">
        <f>G214*(1-0.0129981372126849)</f>
        <v>0</v>
      </c>
      <c r="AQ214" s="23" t="s">
        <v>78</v>
      </c>
      <c r="AV214" s="21">
        <f>AW214+AX214</f>
        <v>0</v>
      </c>
      <c r="AW214" s="21">
        <f>F214*AO214</f>
        <v>0</v>
      </c>
      <c r="AX214" s="21">
        <f>F214*AP214</f>
        <v>0</v>
      </c>
      <c r="AY214" s="23" t="s">
        <v>380</v>
      </c>
      <c r="AZ214" s="23" t="s">
        <v>300</v>
      </c>
      <c r="BA214" s="10" t="s">
        <v>58</v>
      </c>
      <c r="BC214" s="21">
        <f>AW214+AX214</f>
        <v>0</v>
      </c>
      <c r="BD214" s="21">
        <f>G214/(100-BE214)*100</f>
        <v>0</v>
      </c>
      <c r="BE214" s="21">
        <v>0</v>
      </c>
      <c r="BF214" s="21">
        <f>L214</f>
        <v>0</v>
      </c>
      <c r="BH214" s="21">
        <f>F214*AO214</f>
        <v>0</v>
      </c>
      <c r="BI214" s="21">
        <f>F214*AP214</f>
        <v>0</v>
      </c>
      <c r="BJ214" s="21">
        <f>F214*G214</f>
        <v>0</v>
      </c>
      <c r="BK214" s="21" t="s">
        <v>59</v>
      </c>
      <c r="BL214" s="21" t="s">
        <v>375</v>
      </c>
    </row>
    <row r="215" spans="1:14" ht="15">
      <c r="A215" s="2"/>
      <c r="B215" s="27" t="s">
        <v>61</v>
      </c>
      <c r="C215" s="634" t="s">
        <v>381</v>
      </c>
      <c r="D215" s="635"/>
      <c r="E215" s="635"/>
      <c r="F215" s="635"/>
      <c r="G215" s="635"/>
      <c r="H215" s="635"/>
      <c r="I215" s="635"/>
      <c r="J215" s="635"/>
      <c r="K215" s="635"/>
      <c r="L215" s="635"/>
      <c r="M215" s="636"/>
      <c r="N215" s="2"/>
    </row>
    <row r="216" spans="1:64" ht="15">
      <c r="A216" s="20" t="s">
        <v>382</v>
      </c>
      <c r="B216" s="3" t="s">
        <v>383</v>
      </c>
      <c r="C216" s="618" t="s">
        <v>384</v>
      </c>
      <c r="D216" s="608"/>
      <c r="E216" s="3" t="s">
        <v>125</v>
      </c>
      <c r="F216" s="21">
        <v>3.51</v>
      </c>
      <c r="G216" s="537"/>
      <c r="H216" s="21">
        <f>F216*AO216</f>
        <v>0</v>
      </c>
      <c r="I216" s="21">
        <f>F216*AP216</f>
        <v>0</v>
      </c>
      <c r="J216" s="21">
        <f>F216*G216</f>
        <v>0</v>
      </c>
      <c r="K216" s="21">
        <v>0</v>
      </c>
      <c r="L216" s="21">
        <f>F216*K216</f>
        <v>0</v>
      </c>
      <c r="M216" s="22" t="s">
        <v>55</v>
      </c>
      <c r="N216" s="2"/>
      <c r="Z216" s="21">
        <f>IF(AQ216="5",BJ216,0)</f>
        <v>0</v>
      </c>
      <c r="AB216" s="21">
        <f>IF(AQ216="1",BH216,0)</f>
        <v>0</v>
      </c>
      <c r="AC216" s="21">
        <f>IF(AQ216="1",BI216,0)</f>
        <v>0</v>
      </c>
      <c r="AD216" s="21">
        <f>IF(AQ216="7",BH216,0)</f>
        <v>0</v>
      </c>
      <c r="AE216" s="21">
        <f>IF(AQ216="7",BI216,0)</f>
        <v>0</v>
      </c>
      <c r="AF216" s="21">
        <f>IF(AQ216="2",BH216,0)</f>
        <v>0</v>
      </c>
      <c r="AG216" s="21">
        <f>IF(AQ216="2",BI216,0)</f>
        <v>0</v>
      </c>
      <c r="AH216" s="21">
        <f>IF(AQ216="0",BJ216,0)</f>
        <v>0</v>
      </c>
      <c r="AI216" s="10"/>
      <c r="AJ216" s="21">
        <f>IF(AN216=0,J216,0)</f>
        <v>0</v>
      </c>
      <c r="AK216" s="21">
        <f>IF(AN216=15,J216,0)</f>
        <v>0</v>
      </c>
      <c r="AL216" s="21">
        <f>IF(AN216=21,J216,0)</f>
        <v>0</v>
      </c>
      <c r="AN216" s="21">
        <v>21</v>
      </c>
      <c r="AO216" s="21">
        <f>G216*0</f>
        <v>0</v>
      </c>
      <c r="AP216" s="21">
        <f>G216*(1-0)</f>
        <v>0</v>
      </c>
      <c r="AQ216" s="23" t="s">
        <v>78</v>
      </c>
      <c r="AV216" s="21">
        <f>AW216+AX216</f>
        <v>0</v>
      </c>
      <c r="AW216" s="21">
        <f>F216*AO216</f>
        <v>0</v>
      </c>
      <c r="AX216" s="21">
        <f>F216*AP216</f>
        <v>0</v>
      </c>
      <c r="AY216" s="23" t="s">
        <v>380</v>
      </c>
      <c r="AZ216" s="23" t="s">
        <v>300</v>
      </c>
      <c r="BA216" s="10" t="s">
        <v>58</v>
      </c>
      <c r="BC216" s="21">
        <f>AW216+AX216</f>
        <v>0</v>
      </c>
      <c r="BD216" s="21">
        <f>G216/(100-BE216)*100</f>
        <v>0</v>
      </c>
      <c r="BE216" s="21">
        <v>0</v>
      </c>
      <c r="BF216" s="21">
        <f>L216</f>
        <v>0</v>
      </c>
      <c r="BH216" s="21">
        <f>F216*AO216</f>
        <v>0</v>
      </c>
      <c r="BI216" s="21">
        <f>F216*AP216</f>
        <v>0</v>
      </c>
      <c r="BJ216" s="21">
        <f>F216*G216</f>
        <v>0</v>
      </c>
      <c r="BK216" s="21" t="s">
        <v>59</v>
      </c>
      <c r="BL216" s="21" t="s">
        <v>375</v>
      </c>
    </row>
    <row r="217" spans="1:64" ht="15">
      <c r="A217" s="20" t="s">
        <v>385</v>
      </c>
      <c r="B217" s="3" t="s">
        <v>386</v>
      </c>
      <c r="C217" s="618" t="s">
        <v>387</v>
      </c>
      <c r="D217" s="608"/>
      <c r="E217" s="3" t="s">
        <v>125</v>
      </c>
      <c r="F217" s="21">
        <v>3.3</v>
      </c>
      <c r="G217" s="537"/>
      <c r="H217" s="21">
        <f>F217*AO217</f>
        <v>0</v>
      </c>
      <c r="I217" s="21">
        <f>F217*AP217</f>
        <v>0</v>
      </c>
      <c r="J217" s="21">
        <f>F217*G217</f>
        <v>0</v>
      </c>
      <c r="K217" s="21">
        <v>0</v>
      </c>
      <c r="L217" s="21">
        <f>F217*K217</f>
        <v>0</v>
      </c>
      <c r="M217" s="539" t="s">
        <v>2130</v>
      </c>
      <c r="N217" s="2"/>
      <c r="Z217" s="21">
        <f>IF(AQ217="5",BJ217,0)</f>
        <v>0</v>
      </c>
      <c r="AB217" s="21">
        <f>IF(AQ217="1",BH217,0)</f>
        <v>0</v>
      </c>
      <c r="AC217" s="21">
        <f>IF(AQ217="1",BI217,0)</f>
        <v>0</v>
      </c>
      <c r="AD217" s="21">
        <f>IF(AQ217="7",BH217,0)</f>
        <v>0</v>
      </c>
      <c r="AE217" s="21">
        <f>IF(AQ217="7",BI217,0)</f>
        <v>0</v>
      </c>
      <c r="AF217" s="21">
        <f>IF(AQ217="2",BH217,0)</f>
        <v>0</v>
      </c>
      <c r="AG217" s="21">
        <f>IF(AQ217="2",BI217,0)</f>
        <v>0</v>
      </c>
      <c r="AH217" s="21">
        <f>IF(AQ217="0",BJ217,0)</f>
        <v>0</v>
      </c>
      <c r="AI217" s="10"/>
      <c r="AJ217" s="21">
        <f>IF(AN217=0,J217,0)</f>
        <v>0</v>
      </c>
      <c r="AK217" s="21">
        <f>IF(AN217=15,J217,0)</f>
        <v>0</v>
      </c>
      <c r="AL217" s="21">
        <f>IF(AN217=21,J217,0)</f>
        <v>0</v>
      </c>
      <c r="AN217" s="21">
        <v>21</v>
      </c>
      <c r="AO217" s="21">
        <f>G217*0</f>
        <v>0</v>
      </c>
      <c r="AP217" s="21">
        <f>G217*(1-0)</f>
        <v>0</v>
      </c>
      <c r="AQ217" s="23" t="s">
        <v>78</v>
      </c>
      <c r="AV217" s="21">
        <f>AW217+AX217</f>
        <v>0</v>
      </c>
      <c r="AW217" s="21">
        <f>F217*AO217</f>
        <v>0</v>
      </c>
      <c r="AX217" s="21">
        <f>F217*AP217</f>
        <v>0</v>
      </c>
      <c r="AY217" s="23" t="s">
        <v>380</v>
      </c>
      <c r="AZ217" s="23" t="s">
        <v>300</v>
      </c>
      <c r="BA217" s="10" t="s">
        <v>58</v>
      </c>
      <c r="BC217" s="21">
        <f>AW217+AX217</f>
        <v>0</v>
      </c>
      <c r="BD217" s="21">
        <f>G217/(100-BE217)*100</f>
        <v>0</v>
      </c>
      <c r="BE217" s="21">
        <v>0</v>
      </c>
      <c r="BF217" s="21">
        <f>L217</f>
        <v>0</v>
      </c>
      <c r="BH217" s="21">
        <f>F217*AO217</f>
        <v>0</v>
      </c>
      <c r="BI217" s="21">
        <f>F217*AP217</f>
        <v>0</v>
      </c>
      <c r="BJ217" s="21">
        <f>F217*G217</f>
        <v>0</v>
      </c>
      <c r="BK217" s="21" t="s">
        <v>59</v>
      </c>
      <c r="BL217" s="21" t="s">
        <v>375</v>
      </c>
    </row>
    <row r="218" spans="1:64" ht="15">
      <c r="A218" s="20" t="s">
        <v>388</v>
      </c>
      <c r="B218" s="3" t="s">
        <v>389</v>
      </c>
      <c r="C218" s="618" t="s">
        <v>390</v>
      </c>
      <c r="D218" s="608"/>
      <c r="E218" s="3" t="s">
        <v>125</v>
      </c>
      <c r="F218" s="21">
        <v>196.68</v>
      </c>
      <c r="G218" s="537"/>
      <c r="H218" s="21">
        <f>F218*AO218</f>
        <v>0</v>
      </c>
      <c r="I218" s="21">
        <f>F218*AP218</f>
        <v>0</v>
      </c>
      <c r="J218" s="21">
        <f>F218*G218</f>
        <v>0</v>
      </c>
      <c r="K218" s="21">
        <v>0</v>
      </c>
      <c r="L218" s="21">
        <f>F218*K218</f>
        <v>0</v>
      </c>
      <c r="M218" s="539" t="s">
        <v>2130</v>
      </c>
      <c r="N218" s="2"/>
      <c r="Z218" s="21">
        <f>IF(AQ218="5",BJ218,0)</f>
        <v>0</v>
      </c>
      <c r="AB218" s="21">
        <f>IF(AQ218="1",BH218,0)</f>
        <v>0</v>
      </c>
      <c r="AC218" s="21">
        <f>IF(AQ218="1",BI218,0)</f>
        <v>0</v>
      </c>
      <c r="AD218" s="21">
        <f>IF(AQ218="7",BH218,0)</f>
        <v>0</v>
      </c>
      <c r="AE218" s="21">
        <f>IF(AQ218="7",BI218,0)</f>
        <v>0</v>
      </c>
      <c r="AF218" s="21">
        <f>IF(AQ218="2",BH218,0)</f>
        <v>0</v>
      </c>
      <c r="AG218" s="21">
        <f>IF(AQ218="2",BI218,0)</f>
        <v>0</v>
      </c>
      <c r="AH218" s="21">
        <f>IF(AQ218="0",BJ218,0)</f>
        <v>0</v>
      </c>
      <c r="AI218" s="10"/>
      <c r="AJ218" s="21">
        <f>IF(AN218=0,J218,0)</f>
        <v>0</v>
      </c>
      <c r="AK218" s="21">
        <f>IF(AN218=15,J218,0)</f>
        <v>0</v>
      </c>
      <c r="AL218" s="21">
        <f>IF(AN218=21,J218,0)</f>
        <v>0</v>
      </c>
      <c r="AN218" s="21">
        <v>21</v>
      </c>
      <c r="AO218" s="21">
        <f>G218*0</f>
        <v>0</v>
      </c>
      <c r="AP218" s="21">
        <f>G218*(1-0)</f>
        <v>0</v>
      </c>
      <c r="AQ218" s="23" t="s">
        <v>78</v>
      </c>
      <c r="AV218" s="21">
        <f>AW218+AX218</f>
        <v>0</v>
      </c>
      <c r="AW218" s="21">
        <f>F218*AO218</f>
        <v>0</v>
      </c>
      <c r="AX218" s="21">
        <f>F218*AP218</f>
        <v>0</v>
      </c>
      <c r="AY218" s="23" t="s">
        <v>380</v>
      </c>
      <c r="AZ218" s="23" t="s">
        <v>300</v>
      </c>
      <c r="BA218" s="10" t="s">
        <v>58</v>
      </c>
      <c r="BC218" s="21">
        <f>AW218+AX218</f>
        <v>0</v>
      </c>
      <c r="BD218" s="21">
        <f>G218/(100-BE218)*100</f>
        <v>0</v>
      </c>
      <c r="BE218" s="21">
        <v>0</v>
      </c>
      <c r="BF218" s="21">
        <f>L218</f>
        <v>0</v>
      </c>
      <c r="BH218" s="21">
        <f>F218*AO218</f>
        <v>0</v>
      </c>
      <c r="BI218" s="21">
        <f>F218*AP218</f>
        <v>0</v>
      </c>
      <c r="BJ218" s="21">
        <f>F218*G218</f>
        <v>0</v>
      </c>
      <c r="BK218" s="21" t="s">
        <v>59</v>
      </c>
      <c r="BL218" s="21" t="s">
        <v>375</v>
      </c>
    </row>
    <row r="219" spans="1:64" ht="15">
      <c r="A219" s="20" t="s">
        <v>391</v>
      </c>
      <c r="B219" s="3" t="s">
        <v>392</v>
      </c>
      <c r="C219" s="618" t="s">
        <v>393</v>
      </c>
      <c r="D219" s="608"/>
      <c r="E219" s="3" t="s">
        <v>125</v>
      </c>
      <c r="F219" s="21">
        <v>8.685</v>
      </c>
      <c r="G219" s="537"/>
      <c r="H219" s="21">
        <f>F219*AO219</f>
        <v>0</v>
      </c>
      <c r="I219" s="21">
        <f>F219*AP219</f>
        <v>0</v>
      </c>
      <c r="J219" s="21">
        <f>F219*G219</f>
        <v>0</v>
      </c>
      <c r="K219" s="21">
        <v>0</v>
      </c>
      <c r="L219" s="21">
        <f>F219*K219</f>
        <v>0</v>
      </c>
      <c r="M219" s="539" t="s">
        <v>2130</v>
      </c>
      <c r="N219" s="2"/>
      <c r="Z219" s="21">
        <f>IF(AQ219="5",BJ219,0)</f>
        <v>0</v>
      </c>
      <c r="AB219" s="21">
        <f>IF(AQ219="1",BH219,0)</f>
        <v>0</v>
      </c>
      <c r="AC219" s="21">
        <f>IF(AQ219="1",BI219,0)</f>
        <v>0</v>
      </c>
      <c r="AD219" s="21">
        <f>IF(AQ219="7",BH219,0)</f>
        <v>0</v>
      </c>
      <c r="AE219" s="21">
        <f>IF(AQ219="7",BI219,0)</f>
        <v>0</v>
      </c>
      <c r="AF219" s="21">
        <f>IF(AQ219="2",BH219,0)</f>
        <v>0</v>
      </c>
      <c r="AG219" s="21">
        <f>IF(AQ219="2",BI219,0)</f>
        <v>0</v>
      </c>
      <c r="AH219" s="21">
        <f>IF(AQ219="0",BJ219,0)</f>
        <v>0</v>
      </c>
      <c r="AI219" s="10"/>
      <c r="AJ219" s="21">
        <f>IF(AN219=0,J219,0)</f>
        <v>0</v>
      </c>
      <c r="AK219" s="21">
        <f>IF(AN219=15,J219,0)</f>
        <v>0</v>
      </c>
      <c r="AL219" s="21">
        <f>IF(AN219=21,J219,0)</f>
        <v>0</v>
      </c>
      <c r="AN219" s="21">
        <v>21</v>
      </c>
      <c r="AO219" s="21">
        <f>G219*0</f>
        <v>0</v>
      </c>
      <c r="AP219" s="21">
        <f>G219*(1-0)</f>
        <v>0</v>
      </c>
      <c r="AQ219" s="23" t="s">
        <v>78</v>
      </c>
      <c r="AV219" s="21">
        <f>AW219+AX219</f>
        <v>0</v>
      </c>
      <c r="AW219" s="21">
        <f>F219*AO219</f>
        <v>0</v>
      </c>
      <c r="AX219" s="21">
        <f>F219*AP219</f>
        <v>0</v>
      </c>
      <c r="AY219" s="23" t="s">
        <v>380</v>
      </c>
      <c r="AZ219" s="23" t="s">
        <v>300</v>
      </c>
      <c r="BA219" s="10" t="s">
        <v>58</v>
      </c>
      <c r="BC219" s="21">
        <f>AW219+AX219</f>
        <v>0</v>
      </c>
      <c r="BD219" s="21">
        <f>G219/(100-BE219)*100</f>
        <v>0</v>
      </c>
      <c r="BE219" s="21">
        <v>0</v>
      </c>
      <c r="BF219" s="21">
        <f>L219</f>
        <v>0</v>
      </c>
      <c r="BH219" s="21">
        <f>F219*AO219</f>
        <v>0</v>
      </c>
      <c r="BI219" s="21">
        <f>F219*AP219</f>
        <v>0</v>
      </c>
      <c r="BJ219" s="21">
        <f>F219*G219</f>
        <v>0</v>
      </c>
      <c r="BK219" s="21" t="s">
        <v>59</v>
      </c>
      <c r="BL219" s="21" t="s">
        <v>375</v>
      </c>
    </row>
    <row r="220" spans="1:64" ht="15">
      <c r="A220" s="28" t="s">
        <v>394</v>
      </c>
      <c r="B220" s="29" t="s">
        <v>395</v>
      </c>
      <c r="C220" s="642" t="s">
        <v>396</v>
      </c>
      <c r="D220" s="643"/>
      <c r="E220" s="29" t="s">
        <v>125</v>
      </c>
      <c r="F220" s="30">
        <v>1614.44842</v>
      </c>
      <c r="G220" s="538"/>
      <c r="H220" s="30">
        <f>F220*AO220</f>
        <v>0</v>
      </c>
      <c r="I220" s="30">
        <f>F220*AP220</f>
        <v>0</v>
      </c>
      <c r="J220" s="30">
        <f>F220*G220</f>
        <v>0</v>
      </c>
      <c r="K220" s="30">
        <v>0</v>
      </c>
      <c r="L220" s="30">
        <f>F220*K220</f>
        <v>0</v>
      </c>
      <c r="M220" s="31" t="s">
        <v>55</v>
      </c>
      <c r="N220" s="2"/>
      <c r="Z220" s="21">
        <f>IF(AQ220="5",BJ220,0)</f>
        <v>0</v>
      </c>
      <c r="AB220" s="21">
        <f>IF(AQ220="1",BH220,0)</f>
        <v>0</v>
      </c>
      <c r="AC220" s="21">
        <f>IF(AQ220="1",BI220,0)</f>
        <v>0</v>
      </c>
      <c r="AD220" s="21">
        <f>IF(AQ220="7",BH220,0)</f>
        <v>0</v>
      </c>
      <c r="AE220" s="21">
        <f>IF(AQ220="7",BI220,0)</f>
        <v>0</v>
      </c>
      <c r="AF220" s="21">
        <f>IF(AQ220="2",BH220,0)</f>
        <v>0</v>
      </c>
      <c r="AG220" s="21">
        <f>IF(AQ220="2",BI220,0)</f>
        <v>0</v>
      </c>
      <c r="AH220" s="21">
        <f>IF(AQ220="0",BJ220,0)</f>
        <v>0</v>
      </c>
      <c r="AI220" s="10"/>
      <c r="AJ220" s="21">
        <f>IF(AN220=0,J220,0)</f>
        <v>0</v>
      </c>
      <c r="AK220" s="21">
        <f>IF(AN220=15,J220,0)</f>
        <v>0</v>
      </c>
      <c r="AL220" s="21">
        <f>IF(AN220=21,J220,0)</f>
        <v>0</v>
      </c>
      <c r="AN220" s="21">
        <v>21</v>
      </c>
      <c r="AO220" s="21">
        <f>G220*0</f>
        <v>0</v>
      </c>
      <c r="AP220" s="21">
        <f>G220*(1-0)</f>
        <v>0</v>
      </c>
      <c r="AQ220" s="23" t="s">
        <v>78</v>
      </c>
      <c r="AV220" s="21">
        <f>AW220+AX220</f>
        <v>0</v>
      </c>
      <c r="AW220" s="21">
        <f>F220*AO220</f>
        <v>0</v>
      </c>
      <c r="AX220" s="21">
        <f>F220*AP220</f>
        <v>0</v>
      </c>
      <c r="AY220" s="23" t="s">
        <v>380</v>
      </c>
      <c r="AZ220" s="23" t="s">
        <v>300</v>
      </c>
      <c r="BA220" s="10" t="s">
        <v>58</v>
      </c>
      <c r="BC220" s="21">
        <f>AW220+AX220</f>
        <v>0</v>
      </c>
      <c r="BD220" s="21">
        <f>G220/(100-BE220)*100</f>
        <v>0</v>
      </c>
      <c r="BE220" s="21">
        <v>0</v>
      </c>
      <c r="BF220" s="21">
        <f>L220</f>
        <v>0</v>
      </c>
      <c r="BH220" s="21">
        <f>F220*AO220</f>
        <v>0</v>
      </c>
      <c r="BI220" s="21">
        <f>F220*AP220</f>
        <v>0</v>
      </c>
      <c r="BJ220" s="21">
        <f>F220*G220</f>
        <v>0</v>
      </c>
      <c r="BK220" s="21" t="s">
        <v>59</v>
      </c>
      <c r="BL220" s="21" t="s">
        <v>375</v>
      </c>
    </row>
    <row r="221" spans="1:13" ht="15">
      <c r="A221" s="32"/>
      <c r="B221" s="32"/>
      <c r="C221" s="32"/>
      <c r="D221" s="32"/>
      <c r="E221" s="32"/>
      <c r="F221" s="32"/>
      <c r="G221" s="32"/>
      <c r="H221" s="644" t="s">
        <v>397</v>
      </c>
      <c r="I221" s="610"/>
      <c r="J221" s="33">
        <f>J12+J22+J30+J35+J42+J46+J51+J78+J83+J147+J152+J155+J210+J213</f>
        <v>0</v>
      </c>
      <c r="K221" s="32"/>
      <c r="L221" s="32"/>
      <c r="M221" s="32"/>
    </row>
    <row r="222" ht="11.25" customHeight="1">
      <c r="A222" s="34" t="s">
        <v>398</v>
      </c>
    </row>
    <row r="223" spans="1:13" ht="15">
      <c r="A223" s="617"/>
      <c r="B223" s="608"/>
      <c r="C223" s="608"/>
      <c r="D223" s="608"/>
      <c r="E223" s="608"/>
      <c r="F223" s="608"/>
      <c r="G223" s="608"/>
      <c r="H223" s="608"/>
      <c r="I223" s="608"/>
      <c r="J223" s="608"/>
      <c r="K223" s="608"/>
      <c r="L223" s="608"/>
      <c r="M223" s="608"/>
    </row>
  </sheetData>
  <sheetProtection algorithmName="SHA-512" hashValue="6opvroNihiZq4M4V1KVvPi/aav4mdfhmqrUCOIgosev+YcgynI4vRSLLcbTopswDCh+9nT4pC+T2QQycmkUB0w==" saltValue="/VhSaBBMQ1wqthfB5drSrw==" spinCount="100000" sheet="1" objects="1" scenarios="1"/>
  <mergeCells count="161">
    <mergeCell ref="C219:D219"/>
    <mergeCell ref="C220:D220"/>
    <mergeCell ref="H221:I221"/>
    <mergeCell ref="A223:M223"/>
    <mergeCell ref="C213:D213"/>
    <mergeCell ref="C214:D214"/>
    <mergeCell ref="C215:M215"/>
    <mergeCell ref="C216:D216"/>
    <mergeCell ref="C217:D217"/>
    <mergeCell ref="C218:D218"/>
    <mergeCell ref="C204:D204"/>
    <mergeCell ref="C206:M206"/>
    <mergeCell ref="C207:D207"/>
    <mergeCell ref="C209:M209"/>
    <mergeCell ref="C210:D210"/>
    <mergeCell ref="C211:D211"/>
    <mergeCell ref="C195:D195"/>
    <mergeCell ref="C197:M197"/>
    <mergeCell ref="C198:D198"/>
    <mergeCell ref="C200:M200"/>
    <mergeCell ref="C201:D201"/>
    <mergeCell ref="C203:M203"/>
    <mergeCell ref="C186:D186"/>
    <mergeCell ref="C188:M188"/>
    <mergeCell ref="C189:D189"/>
    <mergeCell ref="C191:M191"/>
    <mergeCell ref="C192:D192"/>
    <mergeCell ref="C194:M194"/>
    <mergeCell ref="C177:D177"/>
    <mergeCell ref="C179:D179"/>
    <mergeCell ref="C180:M180"/>
    <mergeCell ref="C182:M182"/>
    <mergeCell ref="C183:D183"/>
    <mergeCell ref="C185:M185"/>
    <mergeCell ref="C167:M167"/>
    <mergeCell ref="C168:D168"/>
    <mergeCell ref="C171:D171"/>
    <mergeCell ref="C173:M173"/>
    <mergeCell ref="C174:D174"/>
    <mergeCell ref="C176:M176"/>
    <mergeCell ref="C155:D155"/>
    <mergeCell ref="C156:D156"/>
    <mergeCell ref="C159:M159"/>
    <mergeCell ref="C160:D160"/>
    <mergeCell ref="C163:M163"/>
    <mergeCell ref="C164:D164"/>
    <mergeCell ref="C147:D147"/>
    <mergeCell ref="C148:D148"/>
    <mergeCell ref="C149:M149"/>
    <mergeCell ref="C151:M151"/>
    <mergeCell ref="C152:D152"/>
    <mergeCell ref="C153:D153"/>
    <mergeCell ref="C139:M139"/>
    <mergeCell ref="C140:D140"/>
    <mergeCell ref="C141:M141"/>
    <mergeCell ref="C143:M143"/>
    <mergeCell ref="C144:D144"/>
    <mergeCell ref="C146:M146"/>
    <mergeCell ref="C129:D129"/>
    <mergeCell ref="C131:D131"/>
    <mergeCell ref="C133:M133"/>
    <mergeCell ref="C134:D134"/>
    <mergeCell ref="C136:M136"/>
    <mergeCell ref="C137:D137"/>
    <mergeCell ref="C119:M119"/>
    <mergeCell ref="C120:D120"/>
    <mergeCell ref="C123:D123"/>
    <mergeCell ref="C125:M125"/>
    <mergeCell ref="C126:D126"/>
    <mergeCell ref="C128:M128"/>
    <mergeCell ref="C108:D108"/>
    <mergeCell ref="C110:M110"/>
    <mergeCell ref="C111:D111"/>
    <mergeCell ref="C113:D113"/>
    <mergeCell ref="C115:M115"/>
    <mergeCell ref="C116:D116"/>
    <mergeCell ref="C97:D97"/>
    <mergeCell ref="C100:M100"/>
    <mergeCell ref="C101:D101"/>
    <mergeCell ref="C104:M104"/>
    <mergeCell ref="C105:D105"/>
    <mergeCell ref="C107:M107"/>
    <mergeCell ref="C81:D81"/>
    <mergeCell ref="C83:D83"/>
    <mergeCell ref="C84:D84"/>
    <mergeCell ref="C89:M89"/>
    <mergeCell ref="C90:D90"/>
    <mergeCell ref="C94:D94"/>
    <mergeCell ref="C70:D70"/>
    <mergeCell ref="C72:D72"/>
    <mergeCell ref="C74:D74"/>
    <mergeCell ref="C76:D76"/>
    <mergeCell ref="C78:D78"/>
    <mergeCell ref="C79:D79"/>
    <mergeCell ref="C61:D61"/>
    <mergeCell ref="C62:M62"/>
    <mergeCell ref="C64:D64"/>
    <mergeCell ref="C65:M65"/>
    <mergeCell ref="C67:D67"/>
    <mergeCell ref="C68:M68"/>
    <mergeCell ref="C52:D52"/>
    <mergeCell ref="C53:M53"/>
    <mergeCell ref="C55:D55"/>
    <mergeCell ref="C56:M56"/>
    <mergeCell ref="C58:D58"/>
    <mergeCell ref="C59:M59"/>
    <mergeCell ref="C43:D43"/>
    <mergeCell ref="C45:M45"/>
    <mergeCell ref="C46:D46"/>
    <mergeCell ref="C47:D47"/>
    <mergeCell ref="C49:D49"/>
    <mergeCell ref="C51:D51"/>
    <mergeCell ref="C35:D35"/>
    <mergeCell ref="C36:D36"/>
    <mergeCell ref="C38:M38"/>
    <mergeCell ref="C39:D39"/>
    <mergeCell ref="C41:M41"/>
    <mergeCell ref="C42:D42"/>
    <mergeCell ref="C25:M25"/>
    <mergeCell ref="C26:D26"/>
    <mergeCell ref="C28:D28"/>
    <mergeCell ref="C30:D30"/>
    <mergeCell ref="C31:D31"/>
    <mergeCell ref="C33:D33"/>
    <mergeCell ref="C15:M15"/>
    <mergeCell ref="C16:D16"/>
    <mergeCell ref="C18:D18"/>
    <mergeCell ref="C20:D20"/>
    <mergeCell ref="C22:D22"/>
    <mergeCell ref="C23:D23"/>
    <mergeCell ref="C10:D10"/>
    <mergeCell ref="H10:J10"/>
    <mergeCell ref="K10:L10"/>
    <mergeCell ref="C11:D11"/>
    <mergeCell ref="C12:D12"/>
    <mergeCell ref="C13:D13"/>
    <mergeCell ref="A8:B9"/>
    <mergeCell ref="C8:D9"/>
    <mergeCell ref="E8:F9"/>
    <mergeCell ref="G8:G9"/>
    <mergeCell ref="H8:H9"/>
    <mergeCell ref="I8:M9"/>
    <mergeCell ref="A1:M1"/>
    <mergeCell ref="A2:B3"/>
    <mergeCell ref="C2:D3"/>
    <mergeCell ref="E2:F3"/>
    <mergeCell ref="G2:G3"/>
    <mergeCell ref="H2:H3"/>
    <mergeCell ref="I2:M3"/>
    <mergeCell ref="A6:B7"/>
    <mergeCell ref="C6:D7"/>
    <mergeCell ref="E6:F7"/>
    <mergeCell ref="G6:G7"/>
    <mergeCell ref="H6:H7"/>
    <mergeCell ref="I6:M7"/>
    <mergeCell ref="A4:B5"/>
    <mergeCell ref="C4:D5"/>
    <mergeCell ref="E4:F5"/>
    <mergeCell ref="G4:G5"/>
    <mergeCell ref="H4:H5"/>
    <mergeCell ref="I4:M5"/>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70" r:id="rId1"/>
  <headerFooter>
    <oddFooter>&amp;CStrana &amp;P z &amp;N</oddFooter>
  </headerFooter>
  <rowBreaks count="3" manualBreakCount="3">
    <brk id="93" max="16383" man="1"/>
    <brk id="139" max="16383" man="1"/>
    <brk id="1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75656-6FF5-40D4-A60E-8A893363549D}">
  <dimension ref="A1:BL57"/>
  <sheetViews>
    <sheetView view="pageBreakPreview" zoomScale="115" zoomScaleSheetLayoutView="115" workbookViewId="0" topLeftCell="A1">
      <selection activeCell="C12" sqref="C12:D12"/>
    </sheetView>
  </sheetViews>
  <sheetFormatPr defaultColWidth="11.57421875" defaultRowHeight="15"/>
  <cols>
    <col min="1" max="1" width="3.7109375" style="1" customWidth="1"/>
    <col min="2" max="2" width="14.28125" style="1" customWidth="1"/>
    <col min="3" max="3" width="15.7109375" style="1" customWidth="1"/>
    <col min="4" max="4" width="43.2812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15.7109375" style="1" customWidth="1"/>
    <col min="260" max="260" width="43.2812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15.7109375" style="1" customWidth="1"/>
    <col min="516" max="516" width="43.2812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15.7109375" style="1" customWidth="1"/>
    <col min="772" max="772" width="43.2812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15.7109375" style="1" customWidth="1"/>
    <col min="1028" max="1028" width="43.2812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15.7109375" style="1" customWidth="1"/>
    <col min="1284" max="1284" width="43.2812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15.7109375" style="1" customWidth="1"/>
    <col min="1540" max="1540" width="43.2812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15.7109375" style="1" customWidth="1"/>
    <col min="1796" max="1796" width="43.2812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15.7109375" style="1" customWidth="1"/>
    <col min="2052" max="2052" width="43.2812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15.7109375" style="1" customWidth="1"/>
    <col min="2308" max="2308" width="43.2812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15.7109375" style="1" customWidth="1"/>
    <col min="2564" max="2564" width="43.2812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15.7109375" style="1" customWidth="1"/>
    <col min="2820" max="2820" width="43.2812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15.7109375" style="1" customWidth="1"/>
    <col min="3076" max="3076" width="43.2812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15.7109375" style="1" customWidth="1"/>
    <col min="3332" max="3332" width="43.2812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15.7109375" style="1" customWidth="1"/>
    <col min="3588" max="3588" width="43.2812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15.7109375" style="1" customWidth="1"/>
    <col min="3844" max="3844" width="43.2812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15.7109375" style="1" customWidth="1"/>
    <col min="4100" max="4100" width="43.2812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15.7109375" style="1" customWidth="1"/>
    <col min="4356" max="4356" width="43.2812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15.7109375" style="1" customWidth="1"/>
    <col min="4612" max="4612" width="43.2812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15.7109375" style="1" customWidth="1"/>
    <col min="4868" max="4868" width="43.2812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15.7109375" style="1" customWidth="1"/>
    <col min="5124" max="5124" width="43.2812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15.7109375" style="1" customWidth="1"/>
    <col min="5380" max="5380" width="43.2812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15.7109375" style="1" customWidth="1"/>
    <col min="5636" max="5636" width="43.2812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15.7109375" style="1" customWidth="1"/>
    <col min="5892" max="5892" width="43.2812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15.7109375" style="1" customWidth="1"/>
    <col min="6148" max="6148" width="43.2812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15.7109375" style="1" customWidth="1"/>
    <col min="6404" max="6404" width="43.2812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15.7109375" style="1" customWidth="1"/>
    <col min="6660" max="6660" width="43.2812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15.7109375" style="1" customWidth="1"/>
    <col min="6916" max="6916" width="43.2812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15.7109375" style="1" customWidth="1"/>
    <col min="7172" max="7172" width="43.2812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15.7109375" style="1" customWidth="1"/>
    <col min="7428" max="7428" width="43.2812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15.7109375" style="1" customWidth="1"/>
    <col min="7684" max="7684" width="43.2812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15.7109375" style="1" customWidth="1"/>
    <col min="7940" max="7940" width="43.2812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15.7109375" style="1" customWidth="1"/>
    <col min="8196" max="8196" width="43.2812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15.7109375" style="1" customWidth="1"/>
    <col min="8452" max="8452" width="43.2812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15.7109375" style="1" customWidth="1"/>
    <col min="8708" max="8708" width="43.2812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15.7109375" style="1" customWidth="1"/>
    <col min="8964" max="8964" width="43.2812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15.7109375" style="1" customWidth="1"/>
    <col min="9220" max="9220" width="43.2812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15.7109375" style="1" customWidth="1"/>
    <col min="9476" max="9476" width="43.2812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15.7109375" style="1" customWidth="1"/>
    <col min="9732" max="9732" width="43.2812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15.7109375" style="1" customWidth="1"/>
    <col min="9988" max="9988" width="43.2812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15.7109375" style="1" customWidth="1"/>
    <col min="10244" max="10244" width="43.2812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15.7109375" style="1" customWidth="1"/>
    <col min="10500" max="10500" width="43.2812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15.7109375" style="1" customWidth="1"/>
    <col min="10756" max="10756" width="43.2812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15.7109375" style="1" customWidth="1"/>
    <col min="11012" max="11012" width="43.2812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15.7109375" style="1" customWidth="1"/>
    <col min="11268" max="11268" width="43.2812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15.7109375" style="1" customWidth="1"/>
    <col min="11524" max="11524" width="43.2812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15.7109375" style="1" customWidth="1"/>
    <col min="11780" max="11780" width="43.2812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15.7109375" style="1" customWidth="1"/>
    <col min="12036" max="12036" width="43.2812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15.7109375" style="1" customWidth="1"/>
    <col min="12292" max="12292" width="43.2812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15.7109375" style="1" customWidth="1"/>
    <col min="12548" max="12548" width="43.2812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15.7109375" style="1" customWidth="1"/>
    <col min="12804" max="12804" width="43.2812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15.7109375" style="1" customWidth="1"/>
    <col min="13060" max="13060" width="43.2812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15.7109375" style="1" customWidth="1"/>
    <col min="13316" max="13316" width="43.2812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15.7109375" style="1" customWidth="1"/>
    <col min="13572" max="13572" width="43.2812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15.7109375" style="1" customWidth="1"/>
    <col min="13828" max="13828" width="43.2812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15.7109375" style="1" customWidth="1"/>
    <col min="14084" max="14084" width="43.2812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15.7109375" style="1" customWidth="1"/>
    <col min="14340" max="14340" width="43.2812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15.7109375" style="1" customWidth="1"/>
    <col min="14596" max="14596" width="43.2812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15.7109375" style="1" customWidth="1"/>
    <col min="14852" max="14852" width="43.2812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15.7109375" style="1" customWidth="1"/>
    <col min="15108" max="15108" width="43.2812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15.7109375" style="1" customWidth="1"/>
    <col min="15364" max="15364" width="43.2812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15.7109375" style="1" customWidth="1"/>
    <col min="15620" max="15620" width="43.2812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15.7109375" style="1" customWidth="1"/>
    <col min="15876" max="15876" width="43.2812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15.7109375" style="1" customWidth="1"/>
    <col min="16132" max="16132" width="43.2812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399</v>
      </c>
      <c r="D2" s="610"/>
      <c r="E2" s="612" t="s">
        <v>3</v>
      </c>
      <c r="F2" s="606"/>
      <c r="G2" s="612" t="s">
        <v>4</v>
      </c>
      <c r="H2" s="613" t="s">
        <v>5</v>
      </c>
      <c r="I2" s="613" t="s">
        <v>6</v>
      </c>
      <c r="J2" s="606"/>
      <c r="K2" s="606"/>
      <c r="L2" s="606"/>
      <c r="M2" s="614"/>
      <c r="N2" s="2"/>
    </row>
    <row r="3" spans="1:14" ht="15">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76</v>
      </c>
      <c r="C12" s="629" t="s">
        <v>77</v>
      </c>
      <c r="D12" s="630"/>
      <c r="E12" s="37" t="s">
        <v>4</v>
      </c>
      <c r="F12" s="37" t="s">
        <v>4</v>
      </c>
      <c r="G12" s="37" t="s">
        <v>4</v>
      </c>
      <c r="H12" s="38">
        <f>SUM(H13:H18)</f>
        <v>0</v>
      </c>
      <c r="I12" s="38">
        <f>SUM(I13:I18)</f>
        <v>0</v>
      </c>
      <c r="J12" s="38">
        <f>SUM(J13:J18)</f>
        <v>0</v>
      </c>
      <c r="K12" s="39"/>
      <c r="L12" s="38">
        <f>SUM(L13:L18)</f>
        <v>0</v>
      </c>
      <c r="M12" s="40"/>
      <c r="N12" s="2"/>
      <c r="AI12" s="10"/>
      <c r="AS12" s="19">
        <f>SUM(AJ13:AJ18)</f>
        <v>0</v>
      </c>
      <c r="AT12" s="19">
        <f>SUM(AK13:AK18)</f>
        <v>0</v>
      </c>
      <c r="AU12" s="19">
        <f>SUM(AL13:AL18)</f>
        <v>0</v>
      </c>
    </row>
    <row r="13" spans="1:64" ht="15">
      <c r="A13" s="20" t="s">
        <v>51</v>
      </c>
      <c r="B13" s="3" t="s">
        <v>79</v>
      </c>
      <c r="C13" s="618" t="s">
        <v>80</v>
      </c>
      <c r="D13" s="608"/>
      <c r="E13" s="3" t="s">
        <v>81</v>
      </c>
      <c r="F13" s="21">
        <v>85.5</v>
      </c>
      <c r="G13" s="537"/>
      <c r="H13" s="21">
        <f>F13*AO13</f>
        <v>0</v>
      </c>
      <c r="I13" s="21">
        <f>F13*AP13</f>
        <v>0</v>
      </c>
      <c r="J13" s="21">
        <f>F13*G13</f>
        <v>0</v>
      </c>
      <c r="K13" s="21">
        <v>0</v>
      </c>
      <c r="L13" s="21">
        <f>F13*K13</f>
        <v>0</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82</v>
      </c>
      <c r="AZ13" s="23" t="s">
        <v>57</v>
      </c>
      <c r="BA13" s="10" t="s">
        <v>58</v>
      </c>
      <c r="BC13" s="21">
        <f>AW13+AX13</f>
        <v>0</v>
      </c>
      <c r="BD13" s="21">
        <f>G13/(100-BE13)*100</f>
        <v>0</v>
      </c>
      <c r="BE13" s="21">
        <v>0</v>
      </c>
      <c r="BF13" s="21">
        <f>L13</f>
        <v>0</v>
      </c>
      <c r="BH13" s="21">
        <f>F13*AO13</f>
        <v>0</v>
      </c>
      <c r="BI13" s="21">
        <f>F13*AP13</f>
        <v>0</v>
      </c>
      <c r="BJ13" s="21">
        <f>F13*G13</f>
        <v>0</v>
      </c>
      <c r="BK13" s="21" t="s">
        <v>59</v>
      </c>
      <c r="BL13" s="21">
        <v>12</v>
      </c>
    </row>
    <row r="14" spans="1:14" ht="15">
      <c r="A14" s="2"/>
      <c r="C14" s="24" t="s">
        <v>400</v>
      </c>
      <c r="D14" s="24"/>
      <c r="F14" s="25">
        <v>85.5</v>
      </c>
      <c r="M14" s="26"/>
      <c r="N14" s="2"/>
    </row>
    <row r="15" spans="1:14" ht="15">
      <c r="A15" s="2"/>
      <c r="B15" s="27" t="s">
        <v>61</v>
      </c>
      <c r="C15" s="634" t="s">
        <v>84</v>
      </c>
      <c r="D15" s="635"/>
      <c r="E15" s="635"/>
      <c r="F15" s="635"/>
      <c r="G15" s="635"/>
      <c r="H15" s="635"/>
      <c r="I15" s="635"/>
      <c r="J15" s="635"/>
      <c r="K15" s="635"/>
      <c r="L15" s="635"/>
      <c r="M15" s="636"/>
      <c r="N15" s="2"/>
    </row>
    <row r="16" spans="1:64" ht="15">
      <c r="A16" s="20" t="s">
        <v>63</v>
      </c>
      <c r="B16" s="3" t="s">
        <v>401</v>
      </c>
      <c r="C16" s="618" t="s">
        <v>402</v>
      </c>
      <c r="D16" s="608"/>
      <c r="E16" s="3" t="s">
        <v>81</v>
      </c>
      <c r="F16" s="21">
        <v>25</v>
      </c>
      <c r="G16" s="537"/>
      <c r="H16" s="21">
        <f>F16*AO16</f>
        <v>0</v>
      </c>
      <c r="I16" s="21">
        <f>F16*AP16</f>
        <v>0</v>
      </c>
      <c r="J16" s="21">
        <f>F16*G16</f>
        <v>0</v>
      </c>
      <c r="K16" s="21">
        <v>0</v>
      </c>
      <c r="L16" s="21">
        <f>F16*K16</f>
        <v>0</v>
      </c>
      <c r="M16" s="22" t="s">
        <v>55</v>
      </c>
      <c r="N16" s="2"/>
      <c r="Z16" s="21">
        <f>IF(AQ16="5",BJ16,0)</f>
        <v>0</v>
      </c>
      <c r="AB16" s="21">
        <f>IF(AQ16="1",BH16,0)</f>
        <v>0</v>
      </c>
      <c r="AC16" s="21">
        <f>IF(AQ16="1",BI16,0)</f>
        <v>0</v>
      </c>
      <c r="AD16" s="21">
        <f>IF(AQ16="7",BH16,0)</f>
        <v>0</v>
      </c>
      <c r="AE16" s="21">
        <f>IF(AQ16="7",BI16,0)</f>
        <v>0</v>
      </c>
      <c r="AF16" s="21">
        <f>IF(AQ16="2",BH16,0)</f>
        <v>0</v>
      </c>
      <c r="AG16" s="21">
        <f>IF(AQ16="2",BI16,0)</f>
        <v>0</v>
      </c>
      <c r="AH16" s="21">
        <f>IF(AQ16="0",BJ16,0)</f>
        <v>0</v>
      </c>
      <c r="AI16" s="10"/>
      <c r="AJ16" s="21">
        <f>IF(AN16=0,J16,0)</f>
        <v>0</v>
      </c>
      <c r="AK16" s="21">
        <f>IF(AN16=15,J16,0)</f>
        <v>0</v>
      </c>
      <c r="AL16" s="21">
        <f>IF(AN16=21,J16,0)</f>
        <v>0</v>
      </c>
      <c r="AN16" s="21">
        <v>21</v>
      </c>
      <c r="AO16" s="21">
        <f>G16*0</f>
        <v>0</v>
      </c>
      <c r="AP16" s="21">
        <f>G16*(1-0)</f>
        <v>0</v>
      </c>
      <c r="AQ16" s="23" t="s">
        <v>51</v>
      </c>
      <c r="AV16" s="21">
        <f>AW16+AX16</f>
        <v>0</v>
      </c>
      <c r="AW16" s="21">
        <f>F16*AO16</f>
        <v>0</v>
      </c>
      <c r="AX16" s="21">
        <f>F16*AP16</f>
        <v>0</v>
      </c>
      <c r="AY16" s="23" t="s">
        <v>82</v>
      </c>
      <c r="AZ16" s="23" t="s">
        <v>57</v>
      </c>
      <c r="BA16" s="10" t="s">
        <v>58</v>
      </c>
      <c r="BC16" s="21">
        <f>AW16+AX16</f>
        <v>0</v>
      </c>
      <c r="BD16" s="21">
        <f>G16/(100-BE16)*100</f>
        <v>0</v>
      </c>
      <c r="BE16" s="21">
        <v>0</v>
      </c>
      <c r="BF16" s="21">
        <f>L16</f>
        <v>0</v>
      </c>
      <c r="BH16" s="21">
        <f>F16*AO16</f>
        <v>0</v>
      </c>
      <c r="BI16" s="21">
        <f>F16*AP16</f>
        <v>0</v>
      </c>
      <c r="BJ16" s="21">
        <f>F16*G16</f>
        <v>0</v>
      </c>
      <c r="BK16" s="21" t="s">
        <v>59</v>
      </c>
      <c r="BL16" s="21">
        <v>12</v>
      </c>
    </row>
    <row r="17" spans="1:14" ht="15">
      <c r="A17" s="2"/>
      <c r="C17" s="24" t="s">
        <v>403</v>
      </c>
      <c r="D17" s="24"/>
      <c r="F17" s="25">
        <v>25</v>
      </c>
      <c r="M17" s="26"/>
      <c r="N17" s="2"/>
    </row>
    <row r="18" spans="1:64" ht="15">
      <c r="A18" s="20" t="s">
        <v>67</v>
      </c>
      <c r="B18" s="3" t="s">
        <v>404</v>
      </c>
      <c r="C18" s="618" t="s">
        <v>405</v>
      </c>
      <c r="D18" s="608"/>
      <c r="E18" s="3" t="s">
        <v>81</v>
      </c>
      <c r="F18" s="21">
        <v>25</v>
      </c>
      <c r="G18" s="537"/>
      <c r="H18" s="21">
        <f>F18*AO18</f>
        <v>0</v>
      </c>
      <c r="I18" s="21">
        <f>F18*AP18</f>
        <v>0</v>
      </c>
      <c r="J18" s="21">
        <f>F18*G18</f>
        <v>0</v>
      </c>
      <c r="K18" s="21">
        <v>0</v>
      </c>
      <c r="L18" s="21">
        <f>F18*K18</f>
        <v>0</v>
      </c>
      <c r="M18" s="22" t="s">
        <v>55</v>
      </c>
      <c r="N18" s="2"/>
      <c r="Z18" s="21">
        <f>IF(AQ18="5",BJ18,0)</f>
        <v>0</v>
      </c>
      <c r="AB18" s="21">
        <f>IF(AQ18="1",BH18,0)</f>
        <v>0</v>
      </c>
      <c r="AC18" s="21">
        <f>IF(AQ18="1",BI18,0)</f>
        <v>0</v>
      </c>
      <c r="AD18" s="21">
        <f>IF(AQ18="7",BH18,0)</f>
        <v>0</v>
      </c>
      <c r="AE18" s="21">
        <f>IF(AQ18="7",BI18,0)</f>
        <v>0</v>
      </c>
      <c r="AF18" s="21">
        <f>IF(AQ18="2",BH18,0)</f>
        <v>0</v>
      </c>
      <c r="AG18" s="21">
        <f>IF(AQ18="2",BI18,0)</f>
        <v>0</v>
      </c>
      <c r="AH18" s="21">
        <f>IF(AQ18="0",BJ18,0)</f>
        <v>0</v>
      </c>
      <c r="AI18" s="10"/>
      <c r="AJ18" s="21">
        <f>IF(AN18=0,J18,0)</f>
        <v>0</v>
      </c>
      <c r="AK18" s="21">
        <f>IF(AN18=15,J18,0)</f>
        <v>0</v>
      </c>
      <c r="AL18" s="21">
        <f>IF(AN18=21,J18,0)</f>
        <v>0</v>
      </c>
      <c r="AN18" s="21">
        <v>21</v>
      </c>
      <c r="AO18" s="21">
        <f>G18*0</f>
        <v>0</v>
      </c>
      <c r="AP18" s="21">
        <f>G18*(1-0)</f>
        <v>0</v>
      </c>
      <c r="AQ18" s="23" t="s">
        <v>51</v>
      </c>
      <c r="AV18" s="21">
        <f>AW18+AX18</f>
        <v>0</v>
      </c>
      <c r="AW18" s="21">
        <f>F18*AO18</f>
        <v>0</v>
      </c>
      <c r="AX18" s="21">
        <f>F18*AP18</f>
        <v>0</v>
      </c>
      <c r="AY18" s="23" t="s">
        <v>82</v>
      </c>
      <c r="AZ18" s="23" t="s">
        <v>57</v>
      </c>
      <c r="BA18" s="10" t="s">
        <v>58</v>
      </c>
      <c r="BC18" s="21">
        <f>AW18+AX18</f>
        <v>0</v>
      </c>
      <c r="BD18" s="21">
        <f>G18/(100-BE18)*100</f>
        <v>0</v>
      </c>
      <c r="BE18" s="21">
        <v>0</v>
      </c>
      <c r="BF18" s="21">
        <f>L18</f>
        <v>0</v>
      </c>
      <c r="BH18" s="21">
        <f>F18*AO18</f>
        <v>0</v>
      </c>
      <c r="BI18" s="21">
        <f>F18*AP18</f>
        <v>0</v>
      </c>
      <c r="BJ18" s="21">
        <f>F18*G18</f>
        <v>0</v>
      </c>
      <c r="BK18" s="21" t="s">
        <v>59</v>
      </c>
      <c r="BL18" s="21">
        <v>12</v>
      </c>
    </row>
    <row r="19" spans="1:14" ht="15">
      <c r="A19" s="2"/>
      <c r="C19" s="24" t="s">
        <v>403</v>
      </c>
      <c r="D19" s="24"/>
      <c r="F19" s="25">
        <v>25</v>
      </c>
      <c r="M19" s="26"/>
      <c r="N19" s="2"/>
    </row>
    <row r="20" spans="1:47" ht="15">
      <c r="A20" s="41"/>
      <c r="B20" s="42" t="s">
        <v>92</v>
      </c>
      <c r="C20" s="637" t="s">
        <v>93</v>
      </c>
      <c r="D20" s="638"/>
      <c r="E20" s="43" t="s">
        <v>4</v>
      </c>
      <c r="F20" s="43" t="s">
        <v>4</v>
      </c>
      <c r="G20" s="43" t="s">
        <v>4</v>
      </c>
      <c r="H20" s="44">
        <f>SUM(H21:H23)</f>
        <v>0</v>
      </c>
      <c r="I20" s="44">
        <f>SUM(I21:I23)</f>
        <v>0</v>
      </c>
      <c r="J20" s="44">
        <f>SUM(J21:J23)</f>
        <v>0</v>
      </c>
      <c r="K20" s="45"/>
      <c r="L20" s="44">
        <f>SUM(L21:L23)</f>
        <v>0</v>
      </c>
      <c r="M20" s="46"/>
      <c r="N20" s="2"/>
      <c r="AI20" s="10"/>
      <c r="AS20" s="19">
        <f>SUM(AJ21:AJ23)</f>
        <v>0</v>
      </c>
      <c r="AT20" s="19">
        <f>SUM(AK21:AK23)</f>
        <v>0</v>
      </c>
      <c r="AU20" s="19">
        <f>SUM(AL21:AL23)</f>
        <v>0</v>
      </c>
    </row>
    <row r="21" spans="1:64" ht="15">
      <c r="A21" s="20" t="s">
        <v>71</v>
      </c>
      <c r="B21" s="3" t="s">
        <v>95</v>
      </c>
      <c r="C21" s="618" t="s">
        <v>96</v>
      </c>
      <c r="D21" s="608"/>
      <c r="E21" s="3" t="s">
        <v>81</v>
      </c>
      <c r="F21" s="21">
        <v>85.5</v>
      </c>
      <c r="G21" s="537"/>
      <c r="H21" s="21">
        <f>F21*AO21</f>
        <v>0</v>
      </c>
      <c r="I21" s="21">
        <f>F21*AP21</f>
        <v>0</v>
      </c>
      <c r="J21" s="21">
        <f>F21*G21</f>
        <v>0</v>
      </c>
      <c r="K21" s="21">
        <v>0</v>
      </c>
      <c r="L21" s="21">
        <f>F21*K21</f>
        <v>0</v>
      </c>
      <c r="M21" s="22" t="s">
        <v>55</v>
      </c>
      <c r="N21" s="2"/>
      <c r="Z21" s="21">
        <f>IF(AQ21="5",BJ21,0)</f>
        <v>0</v>
      </c>
      <c r="AB21" s="21">
        <f>IF(AQ21="1",BH21,0)</f>
        <v>0</v>
      </c>
      <c r="AC21" s="21">
        <f>IF(AQ21="1",BI21,0)</f>
        <v>0</v>
      </c>
      <c r="AD21" s="21">
        <f>IF(AQ21="7",BH21,0)</f>
        <v>0</v>
      </c>
      <c r="AE21" s="21">
        <f>IF(AQ21="7",BI21,0)</f>
        <v>0</v>
      </c>
      <c r="AF21" s="21">
        <f>IF(AQ21="2",BH21,0)</f>
        <v>0</v>
      </c>
      <c r="AG21" s="21">
        <f>IF(AQ21="2",BI21,0)</f>
        <v>0</v>
      </c>
      <c r="AH21" s="21">
        <f>IF(AQ21="0",BJ21,0)</f>
        <v>0</v>
      </c>
      <c r="AI21" s="10"/>
      <c r="AJ21" s="21">
        <f>IF(AN21=0,J21,0)</f>
        <v>0</v>
      </c>
      <c r="AK21" s="21">
        <f>IF(AN21=15,J21,0)</f>
        <v>0</v>
      </c>
      <c r="AL21" s="21">
        <f>IF(AN21=21,J21,0)</f>
        <v>0</v>
      </c>
      <c r="AN21" s="21">
        <v>21</v>
      </c>
      <c r="AO21" s="21">
        <f>G21*0</f>
        <v>0</v>
      </c>
      <c r="AP21" s="21">
        <f>G21*(1-0)</f>
        <v>0</v>
      </c>
      <c r="AQ21" s="23" t="s">
        <v>51</v>
      </c>
      <c r="AV21" s="21">
        <f>AW21+AX21</f>
        <v>0</v>
      </c>
      <c r="AW21" s="21">
        <f>F21*AO21</f>
        <v>0</v>
      </c>
      <c r="AX21" s="21">
        <f>F21*AP21</f>
        <v>0</v>
      </c>
      <c r="AY21" s="23" t="s">
        <v>97</v>
      </c>
      <c r="AZ21" s="23" t="s">
        <v>57</v>
      </c>
      <c r="BA21" s="10" t="s">
        <v>58</v>
      </c>
      <c r="BC21" s="21">
        <f>AW21+AX21</f>
        <v>0</v>
      </c>
      <c r="BD21" s="21">
        <f>G21/(100-BE21)*100</f>
        <v>0</v>
      </c>
      <c r="BE21" s="21">
        <v>0</v>
      </c>
      <c r="BF21" s="21">
        <f>L21</f>
        <v>0</v>
      </c>
      <c r="BH21" s="21">
        <f>F21*AO21</f>
        <v>0</v>
      </c>
      <c r="BI21" s="21">
        <f>F21*AP21</f>
        <v>0</v>
      </c>
      <c r="BJ21" s="21">
        <f>F21*G21</f>
        <v>0</v>
      </c>
      <c r="BK21" s="21" t="s">
        <v>59</v>
      </c>
      <c r="BL21" s="21">
        <v>16</v>
      </c>
    </row>
    <row r="22" spans="1:14" ht="15">
      <c r="A22" s="2"/>
      <c r="C22" s="24" t="s">
        <v>400</v>
      </c>
      <c r="D22" s="24"/>
      <c r="F22" s="25">
        <v>85.5</v>
      </c>
      <c r="M22" s="26"/>
      <c r="N22" s="2"/>
    </row>
    <row r="23" spans="1:64" ht="15">
      <c r="A23" s="20" t="s">
        <v>78</v>
      </c>
      <c r="B23" s="3" t="s">
        <v>99</v>
      </c>
      <c r="C23" s="618" t="s">
        <v>100</v>
      </c>
      <c r="D23" s="608"/>
      <c r="E23" s="3" t="s">
        <v>81</v>
      </c>
      <c r="F23" s="21">
        <v>50</v>
      </c>
      <c r="G23" s="537"/>
      <c r="H23" s="21">
        <f>F23*AO23</f>
        <v>0</v>
      </c>
      <c r="I23" s="21">
        <f>F23*AP23</f>
        <v>0</v>
      </c>
      <c r="J23" s="21">
        <f>F23*G23</f>
        <v>0</v>
      </c>
      <c r="K23" s="21">
        <v>0</v>
      </c>
      <c r="L23" s="21">
        <f>F23*K23</f>
        <v>0</v>
      </c>
      <c r="M23" s="22" t="s">
        <v>55</v>
      </c>
      <c r="N23" s="2"/>
      <c r="Z23" s="21">
        <f>IF(AQ23="5",BJ23,0)</f>
        <v>0</v>
      </c>
      <c r="AB23" s="21">
        <f>IF(AQ23="1",BH23,0)</f>
        <v>0</v>
      </c>
      <c r="AC23" s="21">
        <f>IF(AQ23="1",BI23,0)</f>
        <v>0</v>
      </c>
      <c r="AD23" s="21">
        <f>IF(AQ23="7",BH23,0)</f>
        <v>0</v>
      </c>
      <c r="AE23" s="21">
        <f>IF(AQ23="7",BI23,0)</f>
        <v>0</v>
      </c>
      <c r="AF23" s="21">
        <f>IF(AQ23="2",BH23,0)</f>
        <v>0</v>
      </c>
      <c r="AG23" s="21">
        <f>IF(AQ23="2",BI23,0)</f>
        <v>0</v>
      </c>
      <c r="AH23" s="21">
        <f>IF(AQ23="0",BJ23,0)</f>
        <v>0</v>
      </c>
      <c r="AI23" s="10"/>
      <c r="AJ23" s="21">
        <f>IF(AN23=0,J23,0)</f>
        <v>0</v>
      </c>
      <c r="AK23" s="21">
        <f>IF(AN23=15,J23,0)</f>
        <v>0</v>
      </c>
      <c r="AL23" s="21">
        <f>IF(AN23=21,J23,0)</f>
        <v>0</v>
      </c>
      <c r="AN23" s="21">
        <v>21</v>
      </c>
      <c r="AO23" s="21">
        <f>G23*0</f>
        <v>0</v>
      </c>
      <c r="AP23" s="21">
        <f>G23*(1-0)</f>
        <v>0</v>
      </c>
      <c r="AQ23" s="23" t="s">
        <v>51</v>
      </c>
      <c r="AV23" s="21">
        <f>AW23+AX23</f>
        <v>0</v>
      </c>
      <c r="AW23" s="21">
        <f>F23*AO23</f>
        <v>0</v>
      </c>
      <c r="AX23" s="21">
        <f>F23*AP23</f>
        <v>0</v>
      </c>
      <c r="AY23" s="23" t="s">
        <v>97</v>
      </c>
      <c r="AZ23" s="23" t="s">
        <v>57</v>
      </c>
      <c r="BA23" s="10" t="s">
        <v>58</v>
      </c>
      <c r="BC23" s="21">
        <f>AW23+AX23</f>
        <v>0</v>
      </c>
      <c r="BD23" s="21">
        <f>G23/(100-BE23)*100</f>
        <v>0</v>
      </c>
      <c r="BE23" s="21">
        <v>0</v>
      </c>
      <c r="BF23" s="21">
        <f>L23</f>
        <v>0</v>
      </c>
      <c r="BH23" s="21">
        <f>F23*AO23</f>
        <v>0</v>
      </c>
      <c r="BI23" s="21">
        <f>F23*AP23</f>
        <v>0</v>
      </c>
      <c r="BJ23" s="21">
        <f>F23*G23</f>
        <v>0</v>
      </c>
      <c r="BK23" s="21" t="s">
        <v>59</v>
      </c>
      <c r="BL23" s="21">
        <v>16</v>
      </c>
    </row>
    <row r="24" spans="1:14" ht="15">
      <c r="A24" s="2"/>
      <c r="C24" s="24" t="s">
        <v>232</v>
      </c>
      <c r="D24" s="24"/>
      <c r="F24" s="25">
        <v>50</v>
      </c>
      <c r="M24" s="26"/>
      <c r="N24" s="2"/>
    </row>
    <row r="25" spans="1:47" ht="15">
      <c r="A25" s="41"/>
      <c r="B25" s="42" t="s">
        <v>114</v>
      </c>
      <c r="C25" s="637" t="s">
        <v>115</v>
      </c>
      <c r="D25" s="638"/>
      <c r="E25" s="43" t="s">
        <v>4</v>
      </c>
      <c r="F25" s="43" t="s">
        <v>4</v>
      </c>
      <c r="G25" s="43" t="s">
        <v>4</v>
      </c>
      <c r="H25" s="44">
        <f>SUM(H26:H26)</f>
        <v>0</v>
      </c>
      <c r="I25" s="44">
        <f>SUM(I26:I26)</f>
        <v>0</v>
      </c>
      <c r="J25" s="44">
        <f>SUM(J26:J26)</f>
        <v>0</v>
      </c>
      <c r="K25" s="45"/>
      <c r="L25" s="44">
        <f>SUM(L26:L26)</f>
        <v>0</v>
      </c>
      <c r="M25" s="46"/>
      <c r="N25" s="2"/>
      <c r="AI25" s="10"/>
      <c r="AS25" s="19">
        <f>SUM(AJ26:AJ26)</f>
        <v>0</v>
      </c>
      <c r="AT25" s="19">
        <f>SUM(AK26:AK26)</f>
        <v>0</v>
      </c>
      <c r="AU25" s="19">
        <f>SUM(AL26:AL26)</f>
        <v>0</v>
      </c>
    </row>
    <row r="26" spans="1:64" ht="15">
      <c r="A26" s="20" t="s">
        <v>85</v>
      </c>
      <c r="B26" s="3" t="s">
        <v>116</v>
      </c>
      <c r="C26" s="618" t="s">
        <v>117</v>
      </c>
      <c r="D26" s="608"/>
      <c r="E26" s="3" t="s">
        <v>54</v>
      </c>
      <c r="F26" s="21">
        <v>76</v>
      </c>
      <c r="G26" s="537"/>
      <c r="H26" s="21">
        <f>F26*AO26</f>
        <v>0</v>
      </c>
      <c r="I26" s="21">
        <f>F26*AP26</f>
        <v>0</v>
      </c>
      <c r="J26" s="21">
        <f>F26*G26</f>
        <v>0</v>
      </c>
      <c r="K26" s="21">
        <v>0</v>
      </c>
      <c r="L26" s="21">
        <f>F26*K26</f>
        <v>0</v>
      </c>
      <c r="M26" s="22" t="s">
        <v>55</v>
      </c>
      <c r="N26" s="2"/>
      <c r="Z26" s="21">
        <f>IF(AQ26="5",BJ26,0)</f>
        <v>0</v>
      </c>
      <c r="AB26" s="21">
        <f>IF(AQ26="1",BH26,0)</f>
        <v>0</v>
      </c>
      <c r="AC26" s="21">
        <f>IF(AQ26="1",BI26,0)</f>
        <v>0</v>
      </c>
      <c r="AD26" s="21">
        <f>IF(AQ26="7",BH26,0)</f>
        <v>0</v>
      </c>
      <c r="AE26" s="21">
        <f>IF(AQ26="7",BI26,0)</f>
        <v>0</v>
      </c>
      <c r="AF26" s="21">
        <f>IF(AQ26="2",BH26,0)</f>
        <v>0</v>
      </c>
      <c r="AG26" s="21">
        <f>IF(AQ26="2",BI26,0)</f>
        <v>0</v>
      </c>
      <c r="AH26" s="21">
        <f>IF(AQ26="0",BJ26,0)</f>
        <v>0</v>
      </c>
      <c r="AI26" s="10"/>
      <c r="AJ26" s="21">
        <f>IF(AN26=0,J26,0)</f>
        <v>0</v>
      </c>
      <c r="AK26" s="21">
        <f>IF(AN26=15,J26,0)</f>
        <v>0</v>
      </c>
      <c r="AL26" s="21">
        <f>IF(AN26=21,J26,0)</f>
        <v>0</v>
      </c>
      <c r="AN26" s="21">
        <v>21</v>
      </c>
      <c r="AO26" s="21">
        <f>G26*0</f>
        <v>0</v>
      </c>
      <c r="AP26" s="21">
        <f>G26*(1-0)</f>
        <v>0</v>
      </c>
      <c r="AQ26" s="23" t="s">
        <v>51</v>
      </c>
      <c r="AV26" s="21">
        <f>AW26+AX26</f>
        <v>0</v>
      </c>
      <c r="AW26" s="21">
        <f>F26*AO26</f>
        <v>0</v>
      </c>
      <c r="AX26" s="21">
        <f>F26*AP26</f>
        <v>0</v>
      </c>
      <c r="AY26" s="23" t="s">
        <v>118</v>
      </c>
      <c r="AZ26" s="23" t="s">
        <v>57</v>
      </c>
      <c r="BA26" s="10" t="s">
        <v>58</v>
      </c>
      <c r="BC26" s="21">
        <f>AW26+AX26</f>
        <v>0</v>
      </c>
      <c r="BD26" s="21">
        <f>G26/(100-BE26)*100</f>
        <v>0</v>
      </c>
      <c r="BE26" s="21">
        <v>0</v>
      </c>
      <c r="BF26" s="21">
        <f>L26</f>
        <v>0</v>
      </c>
      <c r="BH26" s="21">
        <f>F26*AO26</f>
        <v>0</v>
      </c>
      <c r="BI26" s="21">
        <f>F26*AP26</f>
        <v>0</v>
      </c>
      <c r="BJ26" s="21">
        <f>F26*G26</f>
        <v>0</v>
      </c>
      <c r="BK26" s="21" t="s">
        <v>59</v>
      </c>
      <c r="BL26" s="21">
        <v>18</v>
      </c>
    </row>
    <row r="27" spans="1:14" ht="15">
      <c r="A27" s="2"/>
      <c r="C27" s="24" t="s">
        <v>406</v>
      </c>
      <c r="D27" s="24"/>
      <c r="F27" s="25">
        <v>76</v>
      </c>
      <c r="M27" s="26"/>
      <c r="N27" s="2"/>
    </row>
    <row r="28" spans="1:14" ht="15">
      <c r="A28" s="2"/>
      <c r="B28" s="27" t="s">
        <v>61</v>
      </c>
      <c r="C28" s="634" t="s">
        <v>120</v>
      </c>
      <c r="D28" s="635"/>
      <c r="E28" s="635"/>
      <c r="F28" s="635"/>
      <c r="G28" s="635"/>
      <c r="H28" s="635"/>
      <c r="I28" s="635"/>
      <c r="J28" s="635"/>
      <c r="K28" s="635"/>
      <c r="L28" s="635"/>
      <c r="M28" s="636"/>
      <c r="N28" s="2"/>
    </row>
    <row r="29" spans="1:47" ht="15">
      <c r="A29" s="41"/>
      <c r="B29" s="42" t="s">
        <v>121</v>
      </c>
      <c r="C29" s="637" t="s">
        <v>122</v>
      </c>
      <c r="D29" s="638"/>
      <c r="E29" s="43" t="s">
        <v>4</v>
      </c>
      <c r="F29" s="43" t="s">
        <v>4</v>
      </c>
      <c r="G29" s="43" t="s">
        <v>4</v>
      </c>
      <c r="H29" s="44">
        <f>SUM(H30:H32)</f>
        <v>0</v>
      </c>
      <c r="I29" s="44">
        <f>SUM(I30:I32)</f>
        <v>0</v>
      </c>
      <c r="J29" s="44">
        <f>SUM(J30:J32)</f>
        <v>0</v>
      </c>
      <c r="K29" s="45"/>
      <c r="L29" s="44">
        <f>SUM(L30:L32)</f>
        <v>0</v>
      </c>
      <c r="M29" s="46"/>
      <c r="N29" s="2"/>
      <c r="AI29" s="10"/>
      <c r="AS29" s="19">
        <f>SUM(AJ30:AJ32)</f>
        <v>0</v>
      </c>
      <c r="AT29" s="19">
        <f>SUM(AK30:AK32)</f>
        <v>0</v>
      </c>
      <c r="AU29" s="19">
        <f>SUM(AL30:AL32)</f>
        <v>0</v>
      </c>
    </row>
    <row r="30" spans="1:64" ht="15">
      <c r="A30" s="20" t="s">
        <v>89</v>
      </c>
      <c r="B30" s="3" t="s">
        <v>123</v>
      </c>
      <c r="C30" s="618" t="s">
        <v>124</v>
      </c>
      <c r="D30" s="608"/>
      <c r="E30" s="3" t="s">
        <v>125</v>
      </c>
      <c r="F30" s="21">
        <v>80</v>
      </c>
      <c r="G30" s="537"/>
      <c r="H30" s="21">
        <f>F30*AO30</f>
        <v>0</v>
      </c>
      <c r="I30" s="21">
        <f>F30*AP30</f>
        <v>0</v>
      </c>
      <c r="J30" s="21">
        <f>F30*G30</f>
        <v>0</v>
      </c>
      <c r="K30" s="21">
        <v>0</v>
      </c>
      <c r="L30" s="21">
        <f>F30*K30</f>
        <v>0</v>
      </c>
      <c r="M30" s="539" t="s">
        <v>2130</v>
      </c>
      <c r="N30" s="2"/>
      <c r="Z30" s="21">
        <f>IF(AQ30="5",BJ30,0)</f>
        <v>0</v>
      </c>
      <c r="AB30" s="21">
        <f>IF(AQ30="1",BH30,0)</f>
        <v>0</v>
      </c>
      <c r="AC30" s="21">
        <f>IF(AQ30="1",BI30,0)</f>
        <v>0</v>
      </c>
      <c r="AD30" s="21">
        <f>IF(AQ30="7",BH30,0)</f>
        <v>0</v>
      </c>
      <c r="AE30" s="21">
        <f>IF(AQ30="7",BI30,0)</f>
        <v>0</v>
      </c>
      <c r="AF30" s="21">
        <f>IF(AQ30="2",BH30,0)</f>
        <v>0</v>
      </c>
      <c r="AG30" s="21">
        <f>IF(AQ30="2",BI30,0)</f>
        <v>0</v>
      </c>
      <c r="AH30" s="21">
        <f>IF(AQ30="0",BJ30,0)</f>
        <v>0</v>
      </c>
      <c r="AI30" s="10"/>
      <c r="AJ30" s="21">
        <f>IF(AN30=0,J30,0)</f>
        <v>0</v>
      </c>
      <c r="AK30" s="21">
        <f>IF(AN30=15,J30,0)</f>
        <v>0</v>
      </c>
      <c r="AL30" s="21">
        <f>IF(AN30=21,J30,0)</f>
        <v>0</v>
      </c>
      <c r="AN30" s="21">
        <v>21</v>
      </c>
      <c r="AO30" s="21">
        <f>G30*0</f>
        <v>0</v>
      </c>
      <c r="AP30" s="21">
        <f>G30*(1-0)</f>
        <v>0</v>
      </c>
      <c r="AQ30" s="23" t="s">
        <v>51</v>
      </c>
      <c r="AV30" s="21">
        <f>AW30+AX30</f>
        <v>0</v>
      </c>
      <c r="AW30" s="21">
        <f>F30*AO30</f>
        <v>0</v>
      </c>
      <c r="AX30" s="21">
        <f>F30*AP30</f>
        <v>0</v>
      </c>
      <c r="AY30" s="23" t="s">
        <v>126</v>
      </c>
      <c r="AZ30" s="23" t="s">
        <v>57</v>
      </c>
      <c r="BA30" s="10" t="s">
        <v>58</v>
      </c>
      <c r="BC30" s="21">
        <f>AW30+AX30</f>
        <v>0</v>
      </c>
      <c r="BD30" s="21">
        <f>G30/(100-BE30)*100</f>
        <v>0</v>
      </c>
      <c r="BE30" s="21">
        <v>0</v>
      </c>
      <c r="BF30" s="21">
        <f>L30</f>
        <v>0</v>
      </c>
      <c r="BH30" s="21">
        <f>F30*AO30</f>
        <v>0</v>
      </c>
      <c r="BI30" s="21">
        <f>F30*AP30</f>
        <v>0</v>
      </c>
      <c r="BJ30" s="21">
        <f>F30*G30</f>
        <v>0</v>
      </c>
      <c r="BK30" s="21" t="s">
        <v>59</v>
      </c>
      <c r="BL30" s="21">
        <v>19</v>
      </c>
    </row>
    <row r="31" spans="1:14" ht="15">
      <c r="A31" s="2"/>
      <c r="C31" s="24" t="s">
        <v>407</v>
      </c>
      <c r="D31" s="24"/>
      <c r="F31" s="25">
        <v>80</v>
      </c>
      <c r="M31" s="26"/>
      <c r="N31" s="2"/>
    </row>
    <row r="32" spans="1:64" ht="15">
      <c r="A32" s="20" t="s">
        <v>94</v>
      </c>
      <c r="B32" s="3" t="s">
        <v>129</v>
      </c>
      <c r="C32" s="618" t="s">
        <v>130</v>
      </c>
      <c r="D32" s="608"/>
      <c r="E32" s="3" t="s">
        <v>125</v>
      </c>
      <c r="F32" s="21">
        <v>136.8</v>
      </c>
      <c r="G32" s="537"/>
      <c r="H32" s="21">
        <f>F32*AO32</f>
        <v>0</v>
      </c>
      <c r="I32" s="21">
        <f>F32*AP32</f>
        <v>0</v>
      </c>
      <c r="J32" s="21">
        <f>F32*G32</f>
        <v>0</v>
      </c>
      <c r="K32" s="21">
        <v>0</v>
      </c>
      <c r="L32" s="21">
        <f>F32*K32</f>
        <v>0</v>
      </c>
      <c r="M32" s="22" t="s">
        <v>55</v>
      </c>
      <c r="N32" s="2"/>
      <c r="Z32" s="21">
        <f>IF(AQ32="5",BJ32,0)</f>
        <v>0</v>
      </c>
      <c r="AB32" s="21">
        <f>IF(AQ32="1",BH32,0)</f>
        <v>0</v>
      </c>
      <c r="AC32" s="21">
        <f>IF(AQ32="1",BI32,0)</f>
        <v>0</v>
      </c>
      <c r="AD32" s="21">
        <f>IF(AQ32="7",BH32,0)</f>
        <v>0</v>
      </c>
      <c r="AE32" s="21">
        <f>IF(AQ32="7",BI32,0)</f>
        <v>0</v>
      </c>
      <c r="AF32" s="21">
        <f>IF(AQ32="2",BH32,0)</f>
        <v>0</v>
      </c>
      <c r="AG32" s="21">
        <f>IF(AQ32="2",BI32,0)</f>
        <v>0</v>
      </c>
      <c r="AH32" s="21">
        <f>IF(AQ32="0",BJ32,0)</f>
        <v>0</v>
      </c>
      <c r="AI32" s="10"/>
      <c r="AJ32" s="21">
        <f>IF(AN32=0,J32,0)</f>
        <v>0</v>
      </c>
      <c r="AK32" s="21">
        <f>IF(AN32=15,J32,0)</f>
        <v>0</v>
      </c>
      <c r="AL32" s="21">
        <f>IF(AN32=21,J32,0)</f>
        <v>0</v>
      </c>
      <c r="AN32" s="21">
        <v>21</v>
      </c>
      <c r="AO32" s="21">
        <f>G32*0</f>
        <v>0</v>
      </c>
      <c r="AP32" s="21">
        <f>G32*(1-0)</f>
        <v>0</v>
      </c>
      <c r="AQ32" s="23" t="s">
        <v>51</v>
      </c>
      <c r="AV32" s="21">
        <f>AW32+AX32</f>
        <v>0</v>
      </c>
      <c r="AW32" s="21">
        <f>F32*AO32</f>
        <v>0</v>
      </c>
      <c r="AX32" s="21">
        <f>F32*AP32</f>
        <v>0</v>
      </c>
      <c r="AY32" s="23" t="s">
        <v>126</v>
      </c>
      <c r="AZ32" s="23" t="s">
        <v>57</v>
      </c>
      <c r="BA32" s="10" t="s">
        <v>58</v>
      </c>
      <c r="BC32" s="21">
        <f>AW32+AX32</f>
        <v>0</v>
      </c>
      <c r="BD32" s="21">
        <f>G32/(100-BE32)*100</f>
        <v>0</v>
      </c>
      <c r="BE32" s="21">
        <v>0</v>
      </c>
      <c r="BF32" s="21">
        <f>L32</f>
        <v>0</v>
      </c>
      <c r="BH32" s="21">
        <f>F32*AO32</f>
        <v>0</v>
      </c>
      <c r="BI32" s="21">
        <f>F32*AP32</f>
        <v>0</v>
      </c>
      <c r="BJ32" s="21">
        <f>F32*G32</f>
        <v>0</v>
      </c>
      <c r="BK32" s="21" t="s">
        <v>59</v>
      </c>
      <c r="BL32" s="21">
        <v>19</v>
      </c>
    </row>
    <row r="33" spans="1:14" ht="15">
      <c r="A33" s="2"/>
      <c r="C33" s="24" t="s">
        <v>408</v>
      </c>
      <c r="D33" s="24"/>
      <c r="F33" s="25">
        <v>136.8</v>
      </c>
      <c r="M33" s="26"/>
      <c r="N33" s="2"/>
    </row>
    <row r="34" spans="1:47" ht="15">
      <c r="A34" s="41"/>
      <c r="B34" s="42" t="s">
        <v>132</v>
      </c>
      <c r="C34" s="637" t="s">
        <v>133</v>
      </c>
      <c r="D34" s="638"/>
      <c r="E34" s="43" t="s">
        <v>4</v>
      </c>
      <c r="F34" s="43" t="s">
        <v>4</v>
      </c>
      <c r="G34" s="43" t="s">
        <v>4</v>
      </c>
      <c r="H34" s="44">
        <f>SUM(H35:H38)</f>
        <v>0</v>
      </c>
      <c r="I34" s="44">
        <f>SUM(I35:I38)</f>
        <v>0</v>
      </c>
      <c r="J34" s="44">
        <f>SUM(J35:J38)</f>
        <v>0</v>
      </c>
      <c r="K34" s="45"/>
      <c r="L34" s="44">
        <f>SUM(L35:L38)</f>
        <v>19.57</v>
      </c>
      <c r="M34" s="46"/>
      <c r="N34" s="2"/>
      <c r="AI34" s="10"/>
      <c r="AS34" s="19">
        <f>SUM(AJ35:AJ38)</f>
        <v>0</v>
      </c>
      <c r="AT34" s="19">
        <f>SUM(AK35:AK38)</f>
        <v>0</v>
      </c>
      <c r="AU34" s="19">
        <f>SUM(AL35:AL38)</f>
        <v>0</v>
      </c>
    </row>
    <row r="35" spans="1:64" ht="15">
      <c r="A35" s="20" t="s">
        <v>98</v>
      </c>
      <c r="B35" s="3" t="s">
        <v>409</v>
      </c>
      <c r="C35" s="618" t="s">
        <v>410</v>
      </c>
      <c r="D35" s="608"/>
      <c r="E35" s="3" t="s">
        <v>54</v>
      </c>
      <c r="F35" s="21">
        <v>11</v>
      </c>
      <c r="G35" s="537"/>
      <c r="H35" s="21">
        <f>F35*AO35</f>
        <v>0</v>
      </c>
      <c r="I35" s="21">
        <f>F35*AP35</f>
        <v>0</v>
      </c>
      <c r="J35" s="21">
        <f>F35*G35</f>
        <v>0</v>
      </c>
      <c r="K35" s="21">
        <v>0.42</v>
      </c>
      <c r="L35" s="21">
        <f>F35*K35</f>
        <v>4.62</v>
      </c>
      <c r="M35" s="22" t="s">
        <v>55</v>
      </c>
      <c r="N35" s="2"/>
      <c r="Z35" s="21">
        <f>IF(AQ35="5",BJ35,0)</f>
        <v>0</v>
      </c>
      <c r="AB35" s="21">
        <f>IF(AQ35="1",BH35,0)</f>
        <v>0</v>
      </c>
      <c r="AC35" s="21">
        <f>IF(AQ35="1",BI35,0)</f>
        <v>0</v>
      </c>
      <c r="AD35" s="21">
        <f>IF(AQ35="7",BH35,0)</f>
        <v>0</v>
      </c>
      <c r="AE35" s="21">
        <f>IF(AQ35="7",BI35,0)</f>
        <v>0</v>
      </c>
      <c r="AF35" s="21">
        <f>IF(AQ35="2",BH35,0)</f>
        <v>0</v>
      </c>
      <c r="AG35" s="21">
        <f>IF(AQ35="2",BI35,0)</f>
        <v>0</v>
      </c>
      <c r="AH35" s="21">
        <f>IF(AQ35="0",BJ35,0)</f>
        <v>0</v>
      </c>
      <c r="AI35" s="10"/>
      <c r="AJ35" s="21">
        <f>IF(AN35=0,J35,0)</f>
        <v>0</v>
      </c>
      <c r="AK35" s="21">
        <f>IF(AN35=15,J35,0)</f>
        <v>0</v>
      </c>
      <c r="AL35" s="21">
        <f>IF(AN35=21,J35,0)</f>
        <v>0</v>
      </c>
      <c r="AN35" s="21">
        <v>21</v>
      </c>
      <c r="AO35" s="21">
        <f>G35*0.810194552529183</f>
        <v>0</v>
      </c>
      <c r="AP35" s="21">
        <f>G35*(1-0.810194552529183)</f>
        <v>0</v>
      </c>
      <c r="AQ35" s="23" t="s">
        <v>51</v>
      </c>
      <c r="AV35" s="21">
        <f>AW35+AX35</f>
        <v>0</v>
      </c>
      <c r="AW35" s="21">
        <f>F35*AO35</f>
        <v>0</v>
      </c>
      <c r="AX35" s="21">
        <f>F35*AP35</f>
        <v>0</v>
      </c>
      <c r="AY35" s="23" t="s">
        <v>136</v>
      </c>
      <c r="AZ35" s="23" t="s">
        <v>137</v>
      </c>
      <c r="BA35" s="10" t="s">
        <v>58</v>
      </c>
      <c r="BC35" s="21">
        <f>AW35+AX35</f>
        <v>0</v>
      </c>
      <c r="BD35" s="21">
        <f>G35/(100-BE35)*100</f>
        <v>0</v>
      </c>
      <c r="BE35" s="21">
        <v>0</v>
      </c>
      <c r="BF35" s="21">
        <f>L35</f>
        <v>4.62</v>
      </c>
      <c r="BH35" s="21">
        <f>F35*AO35</f>
        <v>0</v>
      </c>
      <c r="BI35" s="21">
        <f>F35*AP35</f>
        <v>0</v>
      </c>
      <c r="BJ35" s="21">
        <f>F35*G35</f>
        <v>0</v>
      </c>
      <c r="BK35" s="21" t="s">
        <v>59</v>
      </c>
      <c r="BL35" s="21">
        <v>56</v>
      </c>
    </row>
    <row r="36" spans="1:14" ht="15">
      <c r="A36" s="2"/>
      <c r="C36" s="24" t="s">
        <v>49</v>
      </c>
      <c r="D36" s="24" t="s">
        <v>411</v>
      </c>
      <c r="F36" s="25">
        <v>11</v>
      </c>
      <c r="M36" s="26"/>
      <c r="N36" s="2"/>
    </row>
    <row r="37" spans="1:14" ht="15">
      <c r="A37" s="2"/>
      <c r="B37" s="27" t="s">
        <v>61</v>
      </c>
      <c r="C37" s="634" t="s">
        <v>412</v>
      </c>
      <c r="D37" s="635"/>
      <c r="E37" s="635"/>
      <c r="F37" s="635"/>
      <c r="G37" s="635"/>
      <c r="H37" s="635"/>
      <c r="I37" s="635"/>
      <c r="J37" s="635"/>
      <c r="K37" s="635"/>
      <c r="L37" s="635"/>
      <c r="M37" s="636"/>
      <c r="N37" s="2"/>
    </row>
    <row r="38" spans="1:64" ht="15">
      <c r="A38" s="20" t="s">
        <v>104</v>
      </c>
      <c r="B38" s="3" t="s">
        <v>413</v>
      </c>
      <c r="C38" s="618" t="s">
        <v>414</v>
      </c>
      <c r="D38" s="608"/>
      <c r="E38" s="3" t="s">
        <v>54</v>
      </c>
      <c r="F38" s="21">
        <v>65</v>
      </c>
      <c r="G38" s="537"/>
      <c r="H38" s="21">
        <f>F38*AO38</f>
        <v>0</v>
      </c>
      <c r="I38" s="21">
        <f>F38*AP38</f>
        <v>0</v>
      </c>
      <c r="J38" s="21">
        <f>F38*G38</f>
        <v>0</v>
      </c>
      <c r="K38" s="21">
        <v>0.23</v>
      </c>
      <c r="L38" s="21">
        <f>F38*K38</f>
        <v>14.950000000000001</v>
      </c>
      <c r="M38" s="22" t="s">
        <v>55</v>
      </c>
      <c r="N38" s="2"/>
      <c r="Z38" s="21">
        <f>IF(AQ38="5",BJ38,0)</f>
        <v>0</v>
      </c>
      <c r="AB38" s="21">
        <f>IF(AQ38="1",BH38,0)</f>
        <v>0</v>
      </c>
      <c r="AC38" s="21">
        <f>IF(AQ38="1",BI38,0)</f>
        <v>0</v>
      </c>
      <c r="AD38" s="21">
        <f>IF(AQ38="7",BH38,0)</f>
        <v>0</v>
      </c>
      <c r="AE38" s="21">
        <f>IF(AQ38="7",BI38,0)</f>
        <v>0</v>
      </c>
      <c r="AF38" s="21">
        <f>IF(AQ38="2",BH38,0)</f>
        <v>0</v>
      </c>
      <c r="AG38" s="21">
        <f>IF(AQ38="2",BI38,0)</f>
        <v>0</v>
      </c>
      <c r="AH38" s="21">
        <f>IF(AQ38="0",BJ38,0)</f>
        <v>0</v>
      </c>
      <c r="AI38" s="10"/>
      <c r="AJ38" s="21">
        <f>IF(AN38=0,J38,0)</f>
        <v>0</v>
      </c>
      <c r="AK38" s="21">
        <f>IF(AN38=15,J38,0)</f>
        <v>0</v>
      </c>
      <c r="AL38" s="21">
        <f>IF(AN38=21,J38,0)</f>
        <v>0</v>
      </c>
      <c r="AN38" s="21">
        <v>21</v>
      </c>
      <c r="AO38" s="21">
        <f>G38*0.8</f>
        <v>0</v>
      </c>
      <c r="AP38" s="21">
        <f>G38*(1-0.8)</f>
        <v>0</v>
      </c>
      <c r="AQ38" s="23" t="s">
        <v>51</v>
      </c>
      <c r="AV38" s="21">
        <f>AW38+AX38</f>
        <v>0</v>
      </c>
      <c r="AW38" s="21">
        <f>F38*AO38</f>
        <v>0</v>
      </c>
      <c r="AX38" s="21">
        <f>F38*AP38</f>
        <v>0</v>
      </c>
      <c r="AY38" s="23" t="s">
        <v>136</v>
      </c>
      <c r="AZ38" s="23" t="s">
        <v>137</v>
      </c>
      <c r="BA38" s="10" t="s">
        <v>58</v>
      </c>
      <c r="BC38" s="21">
        <f>AW38+AX38</f>
        <v>0</v>
      </c>
      <c r="BD38" s="21">
        <f>G38/(100-BE38)*100</f>
        <v>0</v>
      </c>
      <c r="BE38" s="21">
        <v>0</v>
      </c>
      <c r="BF38" s="21">
        <f>L38</f>
        <v>14.950000000000001</v>
      </c>
      <c r="BH38" s="21">
        <f>F38*AO38</f>
        <v>0</v>
      </c>
      <c r="BI38" s="21">
        <f>F38*AP38</f>
        <v>0</v>
      </c>
      <c r="BJ38" s="21">
        <f>F38*G38</f>
        <v>0</v>
      </c>
      <c r="BK38" s="21" t="s">
        <v>59</v>
      </c>
      <c r="BL38" s="21">
        <v>56</v>
      </c>
    </row>
    <row r="39" spans="1:14" ht="15">
      <c r="A39" s="2"/>
      <c r="B39" s="27" t="s">
        <v>138</v>
      </c>
      <c r="C39" s="639" t="s">
        <v>143</v>
      </c>
      <c r="D39" s="640"/>
      <c r="E39" s="640"/>
      <c r="F39" s="640"/>
      <c r="G39" s="640"/>
      <c r="H39" s="640"/>
      <c r="I39" s="640"/>
      <c r="J39" s="640"/>
      <c r="K39" s="640"/>
      <c r="L39" s="640"/>
      <c r="M39" s="641"/>
      <c r="N39" s="2"/>
    </row>
    <row r="40" spans="1:14" ht="15">
      <c r="A40" s="2"/>
      <c r="C40" s="24" t="s">
        <v>369</v>
      </c>
      <c r="D40" s="24"/>
      <c r="F40" s="25">
        <v>65</v>
      </c>
      <c r="M40" s="26"/>
      <c r="N40" s="2"/>
    </row>
    <row r="41" spans="1:47" ht="15">
      <c r="A41" s="41"/>
      <c r="B41" s="42" t="s">
        <v>175</v>
      </c>
      <c r="C41" s="637" t="s">
        <v>176</v>
      </c>
      <c r="D41" s="638"/>
      <c r="E41" s="43" t="s">
        <v>4</v>
      </c>
      <c r="F41" s="43" t="s">
        <v>4</v>
      </c>
      <c r="G41" s="43" t="s">
        <v>4</v>
      </c>
      <c r="H41" s="44">
        <f>SUM(H42:H42)</f>
        <v>0</v>
      </c>
      <c r="I41" s="44">
        <f>SUM(I42:I42)</f>
        <v>0</v>
      </c>
      <c r="J41" s="44">
        <f>SUM(J42:J42)</f>
        <v>0</v>
      </c>
      <c r="K41" s="45"/>
      <c r="L41" s="44">
        <f>SUM(L42:L42)</f>
        <v>2.5674</v>
      </c>
      <c r="M41" s="46"/>
      <c r="N41" s="2"/>
      <c r="AI41" s="10"/>
      <c r="AS41" s="19">
        <f>SUM(AJ42:AJ42)</f>
        <v>0</v>
      </c>
      <c r="AT41" s="19">
        <f>SUM(AK42:AK42)</f>
        <v>0</v>
      </c>
      <c r="AU41" s="19">
        <f>SUM(AL42:AL42)</f>
        <v>0</v>
      </c>
    </row>
    <row r="42" spans="1:64" ht="15">
      <c r="A42" s="20" t="s">
        <v>49</v>
      </c>
      <c r="B42" s="3" t="s">
        <v>415</v>
      </c>
      <c r="C42" s="618" t="s">
        <v>416</v>
      </c>
      <c r="D42" s="608"/>
      <c r="E42" s="3" t="s">
        <v>54</v>
      </c>
      <c r="F42" s="21">
        <v>11</v>
      </c>
      <c r="G42" s="537"/>
      <c r="H42" s="21">
        <f>F42*AO42</f>
        <v>0</v>
      </c>
      <c r="I42" s="21">
        <f>F42*AP42</f>
        <v>0</v>
      </c>
      <c r="J42" s="21">
        <f>F42*G42</f>
        <v>0</v>
      </c>
      <c r="K42" s="21">
        <v>0.2334</v>
      </c>
      <c r="L42" s="21">
        <f>F42*K42</f>
        <v>2.5674</v>
      </c>
      <c r="M42" s="539" t="s">
        <v>2130</v>
      </c>
      <c r="N42" s="2"/>
      <c r="Z42" s="21">
        <f>IF(AQ42="5",BJ42,0)</f>
        <v>0</v>
      </c>
      <c r="AB42" s="21">
        <f>IF(AQ42="1",BH42,0)</f>
        <v>0</v>
      </c>
      <c r="AC42" s="21">
        <f>IF(AQ42="1",BI42,0)</f>
        <v>0</v>
      </c>
      <c r="AD42" s="21">
        <f>IF(AQ42="7",BH42,0)</f>
        <v>0</v>
      </c>
      <c r="AE42" s="21">
        <f>IF(AQ42="7",BI42,0)</f>
        <v>0</v>
      </c>
      <c r="AF42" s="21">
        <f>IF(AQ42="2",BH42,0)</f>
        <v>0</v>
      </c>
      <c r="AG42" s="21">
        <f>IF(AQ42="2",BI42,0)</f>
        <v>0</v>
      </c>
      <c r="AH42" s="21">
        <f>IF(AQ42="0",BJ42,0)</f>
        <v>0</v>
      </c>
      <c r="AI42" s="10"/>
      <c r="AJ42" s="21">
        <f>IF(AN42=0,J42,0)</f>
        <v>0</v>
      </c>
      <c r="AK42" s="21">
        <f>IF(AN42=15,J42,0)</f>
        <v>0</v>
      </c>
      <c r="AL42" s="21">
        <f>IF(AN42=21,J42,0)</f>
        <v>0</v>
      </c>
      <c r="AN42" s="21">
        <v>21</v>
      </c>
      <c r="AO42" s="21">
        <f>G42*0.35065</f>
        <v>0</v>
      </c>
      <c r="AP42" s="21">
        <f>G42*(1-0.35065)</f>
        <v>0</v>
      </c>
      <c r="AQ42" s="23" t="s">
        <v>51</v>
      </c>
      <c r="AV42" s="21">
        <f>AW42+AX42</f>
        <v>0</v>
      </c>
      <c r="AW42" s="21">
        <f>F42*AO42</f>
        <v>0</v>
      </c>
      <c r="AX42" s="21">
        <f>F42*AP42</f>
        <v>0</v>
      </c>
      <c r="AY42" s="23" t="s">
        <v>180</v>
      </c>
      <c r="AZ42" s="23" t="s">
        <v>137</v>
      </c>
      <c r="BA42" s="10" t="s">
        <v>58</v>
      </c>
      <c r="BC42" s="21">
        <f>AW42+AX42</f>
        <v>0</v>
      </c>
      <c r="BD42" s="21">
        <f>G42/(100-BE42)*100</f>
        <v>0</v>
      </c>
      <c r="BE42" s="21">
        <v>0</v>
      </c>
      <c r="BF42" s="21">
        <f>L42</f>
        <v>2.5674</v>
      </c>
      <c r="BH42" s="21">
        <f>F42*AO42</f>
        <v>0</v>
      </c>
      <c r="BI42" s="21">
        <f>F42*AP42</f>
        <v>0</v>
      </c>
      <c r="BJ42" s="21">
        <f>F42*G42</f>
        <v>0</v>
      </c>
      <c r="BK42" s="21" t="s">
        <v>59</v>
      </c>
      <c r="BL42" s="21">
        <v>57</v>
      </c>
    </row>
    <row r="43" spans="1:14" ht="15">
      <c r="A43" s="2"/>
      <c r="C43" s="24" t="s">
        <v>49</v>
      </c>
      <c r="D43" s="24"/>
      <c r="F43" s="25">
        <v>11</v>
      </c>
      <c r="M43" s="26"/>
      <c r="N43" s="2"/>
    </row>
    <row r="44" spans="1:14" ht="15">
      <c r="A44" s="2"/>
      <c r="B44" s="27" t="s">
        <v>61</v>
      </c>
      <c r="C44" s="634" t="s">
        <v>417</v>
      </c>
      <c r="D44" s="635"/>
      <c r="E44" s="635"/>
      <c r="F44" s="635"/>
      <c r="G44" s="635"/>
      <c r="H44" s="635"/>
      <c r="I44" s="635"/>
      <c r="J44" s="635"/>
      <c r="K44" s="635"/>
      <c r="L44" s="635"/>
      <c r="M44" s="636"/>
      <c r="N44" s="2"/>
    </row>
    <row r="45" spans="1:47" ht="15">
      <c r="A45" s="41"/>
      <c r="B45" s="42" t="s">
        <v>294</v>
      </c>
      <c r="C45" s="637" t="s">
        <v>295</v>
      </c>
      <c r="D45" s="638"/>
      <c r="E45" s="43" t="s">
        <v>4</v>
      </c>
      <c r="F45" s="43" t="s">
        <v>4</v>
      </c>
      <c r="G45" s="43" t="s">
        <v>4</v>
      </c>
      <c r="H45" s="44">
        <f>SUM(H46:H49)</f>
        <v>0</v>
      </c>
      <c r="I45" s="44">
        <f>SUM(I46:I49)</f>
        <v>0</v>
      </c>
      <c r="J45" s="44">
        <f>SUM(J46:J49)</f>
        <v>0</v>
      </c>
      <c r="K45" s="45"/>
      <c r="L45" s="44">
        <f>SUM(L46:L49)</f>
        <v>19.516640000000002</v>
      </c>
      <c r="M45" s="46"/>
      <c r="N45" s="2"/>
      <c r="AI45" s="10"/>
      <c r="AS45" s="19">
        <f>SUM(AJ46:AJ49)</f>
        <v>0</v>
      </c>
      <c r="AT45" s="19">
        <f>SUM(AK46:AK49)</f>
        <v>0</v>
      </c>
      <c r="AU45" s="19">
        <f>SUM(AL46:AL49)</f>
        <v>0</v>
      </c>
    </row>
    <row r="46" spans="1:64" ht="15">
      <c r="A46" s="20" t="s">
        <v>76</v>
      </c>
      <c r="B46" s="3" t="s">
        <v>418</v>
      </c>
      <c r="C46" s="618" t="s">
        <v>419</v>
      </c>
      <c r="D46" s="608"/>
      <c r="E46" s="3" t="s">
        <v>74</v>
      </c>
      <c r="F46" s="21">
        <v>143</v>
      </c>
      <c r="G46" s="537"/>
      <c r="H46" s="21">
        <f>F46*AO46</f>
        <v>0</v>
      </c>
      <c r="I46" s="21">
        <f>F46*AP46</f>
        <v>0</v>
      </c>
      <c r="J46" s="21">
        <f>F46*G46</f>
        <v>0</v>
      </c>
      <c r="K46" s="21">
        <v>0.07348</v>
      </c>
      <c r="L46" s="21">
        <f>F46*K46</f>
        <v>10.50764</v>
      </c>
      <c r="M46" s="22" t="s">
        <v>55</v>
      </c>
      <c r="N46" s="2"/>
      <c r="Z46" s="21">
        <f>IF(AQ46="5",BJ46,0)</f>
        <v>0</v>
      </c>
      <c r="AB46" s="21">
        <f>IF(AQ46="1",BH46,0)</f>
        <v>0</v>
      </c>
      <c r="AC46" s="21">
        <f>IF(AQ46="1",BI46,0)</f>
        <v>0</v>
      </c>
      <c r="AD46" s="21">
        <f>IF(AQ46="7",BH46,0)</f>
        <v>0</v>
      </c>
      <c r="AE46" s="21">
        <f>IF(AQ46="7",BI46,0)</f>
        <v>0</v>
      </c>
      <c r="AF46" s="21">
        <f>IF(AQ46="2",BH46,0)</f>
        <v>0</v>
      </c>
      <c r="AG46" s="21">
        <f>IF(AQ46="2",BI46,0)</f>
        <v>0</v>
      </c>
      <c r="AH46" s="21">
        <f>IF(AQ46="0",BJ46,0)</f>
        <v>0</v>
      </c>
      <c r="AI46" s="10"/>
      <c r="AJ46" s="21">
        <f>IF(AN46=0,J46,0)</f>
        <v>0</v>
      </c>
      <c r="AK46" s="21">
        <f>IF(AN46=15,J46,0)</f>
        <v>0</v>
      </c>
      <c r="AL46" s="21">
        <f>IF(AN46=21,J46,0)</f>
        <v>0</v>
      </c>
      <c r="AN46" s="21">
        <v>21</v>
      </c>
      <c r="AO46" s="21">
        <f>G46*0.148307692307692</f>
        <v>0</v>
      </c>
      <c r="AP46" s="21">
        <f>G46*(1-0.148307692307692)</f>
        <v>0</v>
      </c>
      <c r="AQ46" s="23" t="s">
        <v>51</v>
      </c>
      <c r="AV46" s="21">
        <f>AW46+AX46</f>
        <v>0</v>
      </c>
      <c r="AW46" s="21">
        <f>F46*AO46</f>
        <v>0</v>
      </c>
      <c r="AX46" s="21">
        <f>F46*AP46</f>
        <v>0</v>
      </c>
      <c r="AY46" s="23" t="s">
        <v>299</v>
      </c>
      <c r="AZ46" s="23" t="s">
        <v>300</v>
      </c>
      <c r="BA46" s="10" t="s">
        <v>58</v>
      </c>
      <c r="BC46" s="21">
        <f>AW46+AX46</f>
        <v>0</v>
      </c>
      <c r="BD46" s="21">
        <f>G46/(100-BE46)*100</f>
        <v>0</v>
      </c>
      <c r="BE46" s="21">
        <v>0</v>
      </c>
      <c r="BF46" s="21">
        <f>L46</f>
        <v>10.50764</v>
      </c>
      <c r="BH46" s="21">
        <f>F46*AO46</f>
        <v>0</v>
      </c>
      <c r="BI46" s="21">
        <f>F46*AP46</f>
        <v>0</v>
      </c>
      <c r="BJ46" s="21">
        <f>F46*G46</f>
        <v>0</v>
      </c>
      <c r="BK46" s="21" t="s">
        <v>59</v>
      </c>
      <c r="BL46" s="21">
        <v>91</v>
      </c>
    </row>
    <row r="47" spans="1:14" ht="15">
      <c r="A47" s="2"/>
      <c r="C47" s="24" t="s">
        <v>420</v>
      </c>
      <c r="D47" s="24"/>
      <c r="F47" s="25">
        <v>143</v>
      </c>
      <c r="M47" s="26"/>
      <c r="N47" s="2"/>
    </row>
    <row r="48" spans="1:14" ht="15">
      <c r="A48" s="2"/>
      <c r="B48" s="27" t="s">
        <v>61</v>
      </c>
      <c r="C48" s="634" t="s">
        <v>304</v>
      </c>
      <c r="D48" s="635"/>
      <c r="E48" s="635"/>
      <c r="F48" s="635"/>
      <c r="G48" s="635"/>
      <c r="H48" s="635"/>
      <c r="I48" s="635"/>
      <c r="J48" s="635"/>
      <c r="K48" s="635"/>
      <c r="L48" s="635"/>
      <c r="M48" s="636"/>
      <c r="N48" s="2"/>
    </row>
    <row r="49" spans="1:64" ht="15">
      <c r="A49" s="20" t="s">
        <v>75</v>
      </c>
      <c r="B49" s="3" t="s">
        <v>421</v>
      </c>
      <c r="C49" s="618" t="s">
        <v>422</v>
      </c>
      <c r="D49" s="608"/>
      <c r="E49" s="3" t="s">
        <v>260</v>
      </c>
      <c r="F49" s="21">
        <v>150.15</v>
      </c>
      <c r="G49" s="537"/>
      <c r="H49" s="21">
        <f>F49*AO49</f>
        <v>0</v>
      </c>
      <c r="I49" s="21">
        <f>F49*AP49</f>
        <v>0</v>
      </c>
      <c r="J49" s="21">
        <f>F49*G49</f>
        <v>0</v>
      </c>
      <c r="K49" s="21">
        <v>0.06</v>
      </c>
      <c r="L49" s="21">
        <f>F49*K49</f>
        <v>9.009</v>
      </c>
      <c r="M49" s="22" t="s">
        <v>55</v>
      </c>
      <c r="N49" s="2"/>
      <c r="Z49" s="21">
        <f>IF(AQ49="5",BJ49,0)</f>
        <v>0</v>
      </c>
      <c r="AB49" s="21">
        <f>IF(AQ49="1",BH49,0)</f>
        <v>0</v>
      </c>
      <c r="AC49" s="21">
        <f>IF(AQ49="1",BI49,0)</f>
        <v>0</v>
      </c>
      <c r="AD49" s="21">
        <f>IF(AQ49="7",BH49,0)</f>
        <v>0</v>
      </c>
      <c r="AE49" s="21">
        <f>IF(AQ49="7",BI49,0)</f>
        <v>0</v>
      </c>
      <c r="AF49" s="21">
        <f>IF(AQ49="2",BH49,0)</f>
        <v>0</v>
      </c>
      <c r="AG49" s="21">
        <f>IF(AQ49="2",BI49,0)</f>
        <v>0</v>
      </c>
      <c r="AH49" s="21">
        <f>IF(AQ49="0",BJ49,0)</f>
        <v>0</v>
      </c>
      <c r="AI49" s="10"/>
      <c r="AJ49" s="21">
        <f>IF(AN49=0,J49,0)</f>
        <v>0</v>
      </c>
      <c r="AK49" s="21">
        <f>IF(AN49=15,J49,0)</f>
        <v>0</v>
      </c>
      <c r="AL49" s="21">
        <f>IF(AN49=21,J49,0)</f>
        <v>0</v>
      </c>
      <c r="AN49" s="21">
        <v>21</v>
      </c>
      <c r="AO49" s="21">
        <f>G49*1</f>
        <v>0</v>
      </c>
      <c r="AP49" s="21">
        <f>G49*(1-1)</f>
        <v>0</v>
      </c>
      <c r="AQ49" s="23" t="s">
        <v>51</v>
      </c>
      <c r="AV49" s="21">
        <f>AW49+AX49</f>
        <v>0</v>
      </c>
      <c r="AW49" s="21">
        <f>F49*AO49</f>
        <v>0</v>
      </c>
      <c r="AX49" s="21">
        <f>F49*AP49</f>
        <v>0</v>
      </c>
      <c r="AY49" s="23" t="s">
        <v>299</v>
      </c>
      <c r="AZ49" s="23" t="s">
        <v>300</v>
      </c>
      <c r="BA49" s="10" t="s">
        <v>58</v>
      </c>
      <c r="BC49" s="21">
        <f>AW49+AX49</f>
        <v>0</v>
      </c>
      <c r="BD49" s="21">
        <f>G49/(100-BE49)*100</f>
        <v>0</v>
      </c>
      <c r="BE49" s="21">
        <v>0</v>
      </c>
      <c r="BF49" s="21">
        <f>L49</f>
        <v>9.009</v>
      </c>
      <c r="BH49" s="21">
        <f>F49*AO49</f>
        <v>0</v>
      </c>
      <c r="BI49" s="21">
        <f>F49*AP49</f>
        <v>0</v>
      </c>
      <c r="BJ49" s="21">
        <f>F49*G49</f>
        <v>0</v>
      </c>
      <c r="BK49" s="21" t="s">
        <v>201</v>
      </c>
      <c r="BL49" s="21">
        <v>91</v>
      </c>
    </row>
    <row r="50" spans="1:14" ht="15">
      <c r="A50" s="2"/>
      <c r="C50" s="24" t="s">
        <v>420</v>
      </c>
      <c r="D50" s="24"/>
      <c r="F50" s="25">
        <v>143</v>
      </c>
      <c r="M50" s="26"/>
      <c r="N50" s="2"/>
    </row>
    <row r="51" spans="1:14" ht="15">
      <c r="A51" s="2"/>
      <c r="C51" s="24" t="s">
        <v>423</v>
      </c>
      <c r="D51" s="24"/>
      <c r="F51" s="25">
        <v>7.15</v>
      </c>
      <c r="M51" s="26"/>
      <c r="N51" s="2"/>
    </row>
    <row r="52" spans="1:14" ht="15">
      <c r="A52" s="2"/>
      <c r="B52" s="27" t="s">
        <v>61</v>
      </c>
      <c r="C52" s="634" t="s">
        <v>314</v>
      </c>
      <c r="D52" s="635"/>
      <c r="E52" s="635"/>
      <c r="F52" s="635"/>
      <c r="G52" s="635"/>
      <c r="H52" s="635"/>
      <c r="I52" s="635"/>
      <c r="J52" s="635"/>
      <c r="K52" s="635"/>
      <c r="L52" s="635"/>
      <c r="M52" s="636"/>
      <c r="N52" s="2"/>
    </row>
    <row r="53" spans="1:47" ht="15">
      <c r="A53" s="41"/>
      <c r="B53" s="42" t="s">
        <v>424</v>
      </c>
      <c r="C53" s="637" t="s">
        <v>425</v>
      </c>
      <c r="D53" s="638"/>
      <c r="E53" s="43" t="s">
        <v>4</v>
      </c>
      <c r="F53" s="43" t="s">
        <v>4</v>
      </c>
      <c r="G53" s="43" t="s">
        <v>4</v>
      </c>
      <c r="H53" s="44">
        <f>SUM(H54:H54)</f>
        <v>0</v>
      </c>
      <c r="I53" s="44">
        <f>SUM(I54:I54)</f>
        <v>0</v>
      </c>
      <c r="J53" s="44">
        <f>SUM(J54:J54)</f>
        <v>0</v>
      </c>
      <c r="K53" s="45"/>
      <c r="L53" s="44">
        <f>SUM(L54:L54)</f>
        <v>0</v>
      </c>
      <c r="M53" s="46"/>
      <c r="N53" s="2"/>
      <c r="AI53" s="10"/>
      <c r="AS53" s="19">
        <f>SUM(AJ54:AJ54)</f>
        <v>0</v>
      </c>
      <c r="AT53" s="19">
        <f>SUM(AK54:AK54)</f>
        <v>0</v>
      </c>
      <c r="AU53" s="19">
        <f>SUM(AL54:AL54)</f>
        <v>0</v>
      </c>
    </row>
    <row r="54" spans="1:64" ht="15">
      <c r="A54" s="28" t="s">
        <v>128</v>
      </c>
      <c r="B54" s="29" t="s">
        <v>426</v>
      </c>
      <c r="C54" s="642" t="s">
        <v>427</v>
      </c>
      <c r="D54" s="643"/>
      <c r="E54" s="29" t="s">
        <v>125</v>
      </c>
      <c r="F54" s="30">
        <v>41.65404</v>
      </c>
      <c r="G54" s="538"/>
      <c r="H54" s="30">
        <f>F54*AO54</f>
        <v>0</v>
      </c>
      <c r="I54" s="30">
        <f>F54*AP54</f>
        <v>0</v>
      </c>
      <c r="J54" s="30">
        <f>F54*G54</f>
        <v>0</v>
      </c>
      <c r="K54" s="30">
        <v>0</v>
      </c>
      <c r="L54" s="30">
        <f>F54*K54</f>
        <v>0</v>
      </c>
      <c r="M54" s="31" t="s">
        <v>55</v>
      </c>
      <c r="N54" s="2"/>
      <c r="Z54" s="21">
        <f>IF(AQ54="5",BJ54,0)</f>
        <v>0</v>
      </c>
      <c r="AB54" s="21">
        <f>IF(AQ54="1",BH54,0)</f>
        <v>0</v>
      </c>
      <c r="AC54" s="21">
        <f>IF(AQ54="1",BI54,0)</f>
        <v>0</v>
      </c>
      <c r="AD54" s="21">
        <f>IF(AQ54="7",BH54,0)</f>
        <v>0</v>
      </c>
      <c r="AE54" s="21">
        <f>IF(AQ54="7",BI54,0)</f>
        <v>0</v>
      </c>
      <c r="AF54" s="21">
        <f>IF(AQ54="2",BH54,0)</f>
        <v>0</v>
      </c>
      <c r="AG54" s="21">
        <f>IF(AQ54="2",BI54,0)</f>
        <v>0</v>
      </c>
      <c r="AH54" s="21">
        <f>IF(AQ54="0",BJ54,0)</f>
        <v>0</v>
      </c>
      <c r="AI54" s="10"/>
      <c r="AJ54" s="21">
        <f>IF(AN54=0,J54,0)</f>
        <v>0</v>
      </c>
      <c r="AK54" s="21">
        <f>IF(AN54=15,J54,0)</f>
        <v>0</v>
      </c>
      <c r="AL54" s="21">
        <f>IF(AN54=21,J54,0)</f>
        <v>0</v>
      </c>
      <c r="AN54" s="21">
        <v>21</v>
      </c>
      <c r="AO54" s="21">
        <f>G54*0</f>
        <v>0</v>
      </c>
      <c r="AP54" s="21">
        <f>G54*(1-0)</f>
        <v>0</v>
      </c>
      <c r="AQ54" s="23" t="s">
        <v>78</v>
      </c>
      <c r="AV54" s="21">
        <f>AW54+AX54</f>
        <v>0</v>
      </c>
      <c r="AW54" s="21">
        <f>F54*AO54</f>
        <v>0</v>
      </c>
      <c r="AX54" s="21">
        <f>F54*AP54</f>
        <v>0</v>
      </c>
      <c r="AY54" s="23" t="s">
        <v>428</v>
      </c>
      <c r="AZ54" s="23" t="s">
        <v>300</v>
      </c>
      <c r="BA54" s="10" t="s">
        <v>58</v>
      </c>
      <c r="BC54" s="21">
        <f>AW54+AX54</f>
        <v>0</v>
      </c>
      <c r="BD54" s="21">
        <f>G54/(100-BE54)*100</f>
        <v>0</v>
      </c>
      <c r="BE54" s="21">
        <v>0</v>
      </c>
      <c r="BF54" s="21">
        <f>L54</f>
        <v>0</v>
      </c>
      <c r="BH54" s="21">
        <f>F54*AO54</f>
        <v>0</v>
      </c>
      <c r="BI54" s="21">
        <f>F54*AP54</f>
        <v>0</v>
      </c>
      <c r="BJ54" s="21">
        <f>F54*G54</f>
        <v>0</v>
      </c>
      <c r="BK54" s="21" t="s">
        <v>59</v>
      </c>
      <c r="BL54" s="21" t="s">
        <v>424</v>
      </c>
    </row>
    <row r="55" spans="1:13" ht="15">
      <c r="A55" s="32"/>
      <c r="B55" s="32"/>
      <c r="C55" s="32"/>
      <c r="D55" s="32"/>
      <c r="E55" s="32"/>
      <c r="F55" s="32"/>
      <c r="G55" s="32"/>
      <c r="H55" s="644" t="s">
        <v>397</v>
      </c>
      <c r="I55" s="610"/>
      <c r="J55" s="33">
        <f>J12+J20+J25+J29+J34+J41+J45+J53</f>
        <v>0</v>
      </c>
      <c r="K55" s="32"/>
      <c r="L55" s="32"/>
      <c r="M55" s="32"/>
    </row>
    <row r="56" ht="11.25" customHeight="1">
      <c r="A56" s="34" t="s">
        <v>398</v>
      </c>
    </row>
    <row r="57" spans="1:13" ht="15">
      <c r="A57" s="617"/>
      <c r="B57" s="608"/>
      <c r="C57" s="608"/>
      <c r="D57" s="608"/>
      <c r="E57" s="608"/>
      <c r="F57" s="608"/>
      <c r="G57" s="608"/>
      <c r="H57" s="608"/>
      <c r="I57" s="608"/>
      <c r="J57" s="608"/>
      <c r="K57" s="608"/>
      <c r="L57" s="608"/>
      <c r="M57" s="608"/>
    </row>
  </sheetData>
  <sheetProtection algorithmName="SHA-512" hashValue="tA2sId4UgpHoYGpfBpqwUgo97qQE1p5M5P9ErhxodgJ+p5vjupEPIvdUV0hA5QxXEFlbUB5jIHNVyiq1GbDzrw==" saltValue="4dc34Ip1xXs+wf4RG/o67Q==" spinCount="100000" sheet="1" objects="1" scenarios="1"/>
  <mergeCells count="60">
    <mergeCell ref="C52:M52"/>
    <mergeCell ref="C53:D53"/>
    <mergeCell ref="C54:D54"/>
    <mergeCell ref="H55:I55"/>
    <mergeCell ref="A57:M57"/>
    <mergeCell ref="C49:D49"/>
    <mergeCell ref="C34:D34"/>
    <mergeCell ref="C35:D35"/>
    <mergeCell ref="C37:M37"/>
    <mergeCell ref="C38:D38"/>
    <mergeCell ref="C39:M39"/>
    <mergeCell ref="C41:D41"/>
    <mergeCell ref="C42:D42"/>
    <mergeCell ref="C44:M44"/>
    <mergeCell ref="C45:D45"/>
    <mergeCell ref="C46:D46"/>
    <mergeCell ref="C48:M48"/>
    <mergeCell ref="H10:J10"/>
    <mergeCell ref="K10:L10"/>
    <mergeCell ref="C11:D11"/>
    <mergeCell ref="C12:D12"/>
    <mergeCell ref="C32:D32"/>
    <mergeCell ref="C15:M15"/>
    <mergeCell ref="C16:D16"/>
    <mergeCell ref="C18:D18"/>
    <mergeCell ref="C20:D20"/>
    <mergeCell ref="C21:D21"/>
    <mergeCell ref="C23:D23"/>
    <mergeCell ref="C25:D25"/>
    <mergeCell ref="C26:D26"/>
    <mergeCell ref="C28:M28"/>
    <mergeCell ref="C29:D29"/>
    <mergeCell ref="C30:D30"/>
    <mergeCell ref="C13:D13"/>
    <mergeCell ref="A8:B9"/>
    <mergeCell ref="C8:D9"/>
    <mergeCell ref="E8:F9"/>
    <mergeCell ref="G8:G9"/>
    <mergeCell ref="C10:D10"/>
    <mergeCell ref="H8:H9"/>
    <mergeCell ref="I8:M9"/>
    <mergeCell ref="A6:B7"/>
    <mergeCell ref="C6:D7"/>
    <mergeCell ref="E6:F7"/>
    <mergeCell ref="G6:G7"/>
    <mergeCell ref="H6:H7"/>
    <mergeCell ref="I6:M7"/>
    <mergeCell ref="I4:M5"/>
    <mergeCell ref="A1:M1"/>
    <mergeCell ref="A2:B3"/>
    <mergeCell ref="C2:D3"/>
    <mergeCell ref="E2:F3"/>
    <mergeCell ref="G2:G3"/>
    <mergeCell ref="H2:H3"/>
    <mergeCell ref="I2:M3"/>
    <mergeCell ref="A4:B5"/>
    <mergeCell ref="C4:D5"/>
    <mergeCell ref="E4:F5"/>
    <mergeCell ref="G4:G5"/>
    <mergeCell ref="H4:H5"/>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71" r:id="rId1"/>
  <headerFooter>
    <oddFooter>&amp;CStrana &amp;P z &amp;N</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B5227-90A6-4A96-85AF-A9C745EF31AB}">
  <dimension ref="A1:BL252"/>
  <sheetViews>
    <sheetView view="pageBreakPreview" zoomScale="130" zoomScaleSheetLayoutView="130" workbookViewId="0" topLeftCell="A223">
      <selection activeCell="C233" sqref="C233:M233"/>
    </sheetView>
  </sheetViews>
  <sheetFormatPr defaultColWidth="11.57421875" defaultRowHeight="15"/>
  <cols>
    <col min="1" max="1" width="3.7109375" style="1" customWidth="1"/>
    <col min="2" max="2" width="14.28125" style="1" customWidth="1"/>
    <col min="3" max="3" width="21.57421875" style="1" customWidth="1"/>
    <col min="4" max="4" width="39.42187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21.57421875" style="1" customWidth="1"/>
    <col min="260" max="260" width="39.42187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21.57421875" style="1" customWidth="1"/>
    <col min="516" max="516" width="39.42187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21.57421875" style="1" customWidth="1"/>
    <col min="772" max="772" width="39.42187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21.57421875" style="1" customWidth="1"/>
    <col min="1028" max="1028" width="39.42187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21.57421875" style="1" customWidth="1"/>
    <col min="1284" max="1284" width="39.42187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21.57421875" style="1" customWidth="1"/>
    <col min="1540" max="1540" width="39.42187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21.57421875" style="1" customWidth="1"/>
    <col min="1796" max="1796" width="39.42187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21.57421875" style="1" customWidth="1"/>
    <col min="2052" max="2052" width="39.42187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21.57421875" style="1" customWidth="1"/>
    <col min="2308" max="2308" width="39.42187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21.57421875" style="1" customWidth="1"/>
    <col min="2564" max="2564" width="39.42187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21.57421875" style="1" customWidth="1"/>
    <col min="2820" max="2820" width="39.42187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21.57421875" style="1" customWidth="1"/>
    <col min="3076" max="3076" width="39.42187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21.57421875" style="1" customWidth="1"/>
    <col min="3332" max="3332" width="39.42187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21.57421875" style="1" customWidth="1"/>
    <col min="3588" max="3588" width="39.42187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21.57421875" style="1" customWidth="1"/>
    <col min="3844" max="3844" width="39.42187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21.57421875" style="1" customWidth="1"/>
    <col min="4100" max="4100" width="39.42187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21.57421875" style="1" customWidth="1"/>
    <col min="4356" max="4356" width="39.42187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21.57421875" style="1" customWidth="1"/>
    <col min="4612" max="4612" width="39.42187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21.57421875" style="1" customWidth="1"/>
    <col min="4868" max="4868" width="39.42187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21.57421875" style="1" customWidth="1"/>
    <col min="5124" max="5124" width="39.42187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21.57421875" style="1" customWidth="1"/>
    <col min="5380" max="5380" width="39.42187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21.57421875" style="1" customWidth="1"/>
    <col min="5636" max="5636" width="39.42187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21.57421875" style="1" customWidth="1"/>
    <col min="5892" max="5892" width="39.42187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21.57421875" style="1" customWidth="1"/>
    <col min="6148" max="6148" width="39.42187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21.57421875" style="1" customWidth="1"/>
    <col min="6404" max="6404" width="39.42187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21.57421875" style="1" customWidth="1"/>
    <col min="6660" max="6660" width="39.42187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21.57421875" style="1" customWidth="1"/>
    <col min="6916" max="6916" width="39.42187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21.57421875" style="1" customWidth="1"/>
    <col min="7172" max="7172" width="39.42187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21.57421875" style="1" customWidth="1"/>
    <col min="7428" max="7428" width="39.42187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21.57421875" style="1" customWidth="1"/>
    <col min="7684" max="7684" width="39.42187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21.57421875" style="1" customWidth="1"/>
    <col min="7940" max="7940" width="39.42187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21.57421875" style="1" customWidth="1"/>
    <col min="8196" max="8196" width="39.42187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21.57421875" style="1" customWidth="1"/>
    <col min="8452" max="8452" width="39.42187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21.57421875" style="1" customWidth="1"/>
    <col min="8708" max="8708" width="39.42187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21.57421875" style="1" customWidth="1"/>
    <col min="8964" max="8964" width="39.42187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21.57421875" style="1" customWidth="1"/>
    <col min="9220" max="9220" width="39.42187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21.57421875" style="1" customWidth="1"/>
    <col min="9476" max="9476" width="39.42187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21.57421875" style="1" customWidth="1"/>
    <col min="9732" max="9732" width="39.42187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21.57421875" style="1" customWidth="1"/>
    <col min="9988" max="9988" width="39.42187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21.57421875" style="1" customWidth="1"/>
    <col min="10244" max="10244" width="39.42187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21.57421875" style="1" customWidth="1"/>
    <col min="10500" max="10500" width="39.42187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21.57421875" style="1" customWidth="1"/>
    <col min="10756" max="10756" width="39.42187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21.57421875" style="1" customWidth="1"/>
    <col min="11012" max="11012" width="39.42187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21.57421875" style="1" customWidth="1"/>
    <col min="11268" max="11268" width="39.42187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21.57421875" style="1" customWidth="1"/>
    <col min="11524" max="11524" width="39.42187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21.57421875" style="1" customWidth="1"/>
    <col min="11780" max="11780" width="39.42187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21.57421875" style="1" customWidth="1"/>
    <col min="12036" max="12036" width="39.42187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21.57421875" style="1" customWidth="1"/>
    <col min="12292" max="12292" width="39.42187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21.57421875" style="1" customWidth="1"/>
    <col min="12548" max="12548" width="39.42187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21.57421875" style="1" customWidth="1"/>
    <col min="12804" max="12804" width="39.42187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21.57421875" style="1" customWidth="1"/>
    <col min="13060" max="13060" width="39.42187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21.57421875" style="1" customWidth="1"/>
    <col min="13316" max="13316" width="39.42187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21.57421875" style="1" customWidth="1"/>
    <col min="13572" max="13572" width="39.42187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21.57421875" style="1" customWidth="1"/>
    <col min="13828" max="13828" width="39.42187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21.57421875" style="1" customWidth="1"/>
    <col min="14084" max="14084" width="39.42187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21.57421875" style="1" customWidth="1"/>
    <col min="14340" max="14340" width="39.42187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21.57421875" style="1" customWidth="1"/>
    <col min="14596" max="14596" width="39.42187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21.57421875" style="1" customWidth="1"/>
    <col min="14852" max="14852" width="39.42187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21.57421875" style="1" customWidth="1"/>
    <col min="15108" max="15108" width="39.42187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21.57421875" style="1" customWidth="1"/>
    <col min="15364" max="15364" width="39.42187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21.57421875" style="1" customWidth="1"/>
    <col min="15620" max="15620" width="39.42187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21.57421875" style="1" customWidth="1"/>
    <col min="15876" max="15876" width="39.42187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21.57421875" style="1" customWidth="1"/>
    <col min="16132" max="16132" width="39.42187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429</v>
      </c>
      <c r="D2" s="610"/>
      <c r="E2" s="612" t="s">
        <v>3</v>
      </c>
      <c r="F2" s="606"/>
      <c r="G2" s="612" t="s">
        <v>4</v>
      </c>
      <c r="H2" s="613" t="s">
        <v>5</v>
      </c>
      <c r="I2" s="613" t="s">
        <v>6</v>
      </c>
      <c r="J2" s="606"/>
      <c r="K2" s="606"/>
      <c r="L2" s="606"/>
      <c r="M2" s="614"/>
      <c r="N2" s="2"/>
    </row>
    <row r="3" spans="1:14" ht="15">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49</v>
      </c>
      <c r="C12" s="629" t="s">
        <v>50</v>
      </c>
      <c r="D12" s="630"/>
      <c r="E12" s="37" t="s">
        <v>4</v>
      </c>
      <c r="F12" s="37" t="s">
        <v>4</v>
      </c>
      <c r="G12" s="37" t="s">
        <v>4</v>
      </c>
      <c r="H12" s="38">
        <f>SUM(H13:H34)</f>
        <v>0</v>
      </c>
      <c r="I12" s="38">
        <f>SUM(I13:I34)</f>
        <v>0</v>
      </c>
      <c r="J12" s="38">
        <f>SUM(J13:J34)</f>
        <v>0</v>
      </c>
      <c r="K12" s="39"/>
      <c r="L12" s="38">
        <f>SUM(L13:L34)</f>
        <v>747.9217</v>
      </c>
      <c r="M12" s="40"/>
      <c r="N12" s="2"/>
      <c r="AI12" s="10"/>
      <c r="AS12" s="19">
        <f>SUM(AJ13:AJ34)</f>
        <v>0</v>
      </c>
      <c r="AT12" s="19">
        <f>SUM(AK13:AK34)</f>
        <v>0</v>
      </c>
      <c r="AU12" s="19">
        <f>SUM(AL13:AL34)</f>
        <v>0</v>
      </c>
    </row>
    <row r="13" spans="1:64" ht="15">
      <c r="A13" s="20" t="s">
        <v>51</v>
      </c>
      <c r="B13" s="3" t="s">
        <v>52</v>
      </c>
      <c r="C13" s="618" t="s">
        <v>53</v>
      </c>
      <c r="D13" s="608"/>
      <c r="E13" s="3" t="s">
        <v>54</v>
      </c>
      <c r="F13" s="21">
        <v>990</v>
      </c>
      <c r="G13" s="537"/>
      <c r="H13" s="21">
        <f>F13*AO13</f>
        <v>0</v>
      </c>
      <c r="I13" s="21">
        <f>F13*AP13</f>
        <v>0</v>
      </c>
      <c r="J13" s="21">
        <f>F13*G13</f>
        <v>0</v>
      </c>
      <c r="K13" s="21">
        <v>0.66</v>
      </c>
      <c r="L13" s="21">
        <f>F13*K13</f>
        <v>653.4</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56</v>
      </c>
      <c r="AZ13" s="23" t="s">
        <v>57</v>
      </c>
      <c r="BA13" s="10" t="s">
        <v>58</v>
      </c>
      <c r="BC13" s="21">
        <f>AW13+AX13</f>
        <v>0</v>
      </c>
      <c r="BD13" s="21">
        <f>G13/(100-BE13)*100</f>
        <v>0</v>
      </c>
      <c r="BE13" s="21">
        <v>0</v>
      </c>
      <c r="BF13" s="21">
        <f>L13</f>
        <v>653.4</v>
      </c>
      <c r="BH13" s="21">
        <f>F13*AO13</f>
        <v>0</v>
      </c>
      <c r="BI13" s="21">
        <f>F13*AP13</f>
        <v>0</v>
      </c>
      <c r="BJ13" s="21">
        <f>F13*G13</f>
        <v>0</v>
      </c>
      <c r="BK13" s="21" t="s">
        <v>59</v>
      </c>
      <c r="BL13" s="21">
        <v>11</v>
      </c>
    </row>
    <row r="14" spans="1:14" ht="15">
      <c r="A14" s="2"/>
      <c r="C14" s="24" t="s">
        <v>430</v>
      </c>
      <c r="D14" s="24"/>
      <c r="F14" s="25">
        <v>990</v>
      </c>
      <c r="M14" s="26"/>
      <c r="N14" s="2"/>
    </row>
    <row r="15" spans="1:14" ht="25.65" customHeight="1">
      <c r="A15" s="2"/>
      <c r="B15" s="27" t="s">
        <v>61</v>
      </c>
      <c r="C15" s="634" t="s">
        <v>62</v>
      </c>
      <c r="D15" s="635"/>
      <c r="E15" s="635"/>
      <c r="F15" s="635"/>
      <c r="G15" s="635"/>
      <c r="H15" s="635"/>
      <c r="I15" s="635"/>
      <c r="J15" s="635"/>
      <c r="K15" s="635"/>
      <c r="L15" s="635"/>
      <c r="M15" s="636"/>
      <c r="N15" s="2"/>
    </row>
    <row r="16" spans="1:64" ht="15">
      <c r="A16" s="20" t="s">
        <v>63</v>
      </c>
      <c r="B16" s="3" t="s">
        <v>431</v>
      </c>
      <c r="C16" s="618" t="s">
        <v>432</v>
      </c>
      <c r="D16" s="608"/>
      <c r="E16" s="3" t="s">
        <v>54</v>
      </c>
      <c r="F16" s="21">
        <v>64</v>
      </c>
      <c r="G16" s="537"/>
      <c r="H16" s="21">
        <f>F16*AO16</f>
        <v>0</v>
      </c>
      <c r="I16" s="21">
        <f>F16*AP16</f>
        <v>0</v>
      </c>
      <c r="J16" s="21">
        <f>F16*G16</f>
        <v>0</v>
      </c>
      <c r="K16" s="21">
        <v>0.22</v>
      </c>
      <c r="L16" s="21">
        <f>F16*K16</f>
        <v>14.08</v>
      </c>
      <c r="M16" s="22" t="s">
        <v>55</v>
      </c>
      <c r="N16" s="2"/>
      <c r="Z16" s="21">
        <f>IF(AQ16="5",BJ16,0)</f>
        <v>0</v>
      </c>
      <c r="AB16" s="21">
        <f>IF(AQ16="1",BH16,0)</f>
        <v>0</v>
      </c>
      <c r="AC16" s="21">
        <f>IF(AQ16="1",BI16,0)</f>
        <v>0</v>
      </c>
      <c r="AD16" s="21">
        <f>IF(AQ16="7",BH16,0)</f>
        <v>0</v>
      </c>
      <c r="AE16" s="21">
        <f>IF(AQ16="7",BI16,0)</f>
        <v>0</v>
      </c>
      <c r="AF16" s="21">
        <f>IF(AQ16="2",BH16,0)</f>
        <v>0</v>
      </c>
      <c r="AG16" s="21">
        <f>IF(AQ16="2",BI16,0)</f>
        <v>0</v>
      </c>
      <c r="AH16" s="21">
        <f>IF(AQ16="0",BJ16,0)</f>
        <v>0</v>
      </c>
      <c r="AI16" s="10"/>
      <c r="AJ16" s="21">
        <f>IF(AN16=0,J16,0)</f>
        <v>0</v>
      </c>
      <c r="AK16" s="21">
        <f>IF(AN16=15,J16,0)</f>
        <v>0</v>
      </c>
      <c r="AL16" s="21">
        <f>IF(AN16=21,J16,0)</f>
        <v>0</v>
      </c>
      <c r="AN16" s="21">
        <v>21</v>
      </c>
      <c r="AO16" s="21">
        <f>G16*0</f>
        <v>0</v>
      </c>
      <c r="AP16" s="21">
        <f>G16*(1-0)</f>
        <v>0</v>
      </c>
      <c r="AQ16" s="23" t="s">
        <v>51</v>
      </c>
      <c r="AV16" s="21">
        <f>AW16+AX16</f>
        <v>0</v>
      </c>
      <c r="AW16" s="21">
        <f>F16*AO16</f>
        <v>0</v>
      </c>
      <c r="AX16" s="21">
        <f>F16*AP16</f>
        <v>0</v>
      </c>
      <c r="AY16" s="23" t="s">
        <v>56</v>
      </c>
      <c r="AZ16" s="23" t="s">
        <v>57</v>
      </c>
      <c r="BA16" s="10" t="s">
        <v>58</v>
      </c>
      <c r="BC16" s="21">
        <f>AW16+AX16</f>
        <v>0</v>
      </c>
      <c r="BD16" s="21">
        <f>G16/(100-BE16)*100</f>
        <v>0</v>
      </c>
      <c r="BE16" s="21">
        <v>0</v>
      </c>
      <c r="BF16" s="21">
        <f>L16</f>
        <v>14.08</v>
      </c>
      <c r="BH16" s="21">
        <f>F16*AO16</f>
        <v>0</v>
      </c>
      <c r="BI16" s="21">
        <f>F16*AP16</f>
        <v>0</v>
      </c>
      <c r="BJ16" s="21">
        <f>F16*G16</f>
        <v>0</v>
      </c>
      <c r="BK16" s="21" t="s">
        <v>59</v>
      </c>
      <c r="BL16" s="21">
        <v>11</v>
      </c>
    </row>
    <row r="17" spans="1:14" ht="15">
      <c r="A17" s="2"/>
      <c r="C17" s="24" t="s">
        <v>363</v>
      </c>
      <c r="D17" s="24"/>
      <c r="F17" s="25">
        <v>64</v>
      </c>
      <c r="M17" s="26"/>
      <c r="N17" s="2"/>
    </row>
    <row r="18" spans="1:14" ht="25.65" customHeight="1">
      <c r="A18" s="2"/>
      <c r="B18" s="27" t="s">
        <v>61</v>
      </c>
      <c r="C18" s="634" t="s">
        <v>433</v>
      </c>
      <c r="D18" s="635"/>
      <c r="E18" s="635"/>
      <c r="F18" s="635"/>
      <c r="G18" s="635"/>
      <c r="H18" s="635"/>
      <c r="I18" s="635"/>
      <c r="J18" s="635"/>
      <c r="K18" s="635"/>
      <c r="L18" s="635"/>
      <c r="M18" s="636"/>
      <c r="N18" s="2"/>
    </row>
    <row r="19" spans="1:64" ht="15">
      <c r="A19" s="20" t="s">
        <v>67</v>
      </c>
      <c r="B19" s="3" t="s">
        <v>434</v>
      </c>
      <c r="C19" s="618" t="s">
        <v>435</v>
      </c>
      <c r="D19" s="608"/>
      <c r="E19" s="3" t="s">
        <v>54</v>
      </c>
      <c r="F19" s="21">
        <v>45</v>
      </c>
      <c r="G19" s="537"/>
      <c r="H19" s="21">
        <f>F19*AO19</f>
        <v>0</v>
      </c>
      <c r="I19" s="21">
        <f>F19*AP19</f>
        <v>0</v>
      </c>
      <c r="J19" s="21">
        <f>F19*G19</f>
        <v>0</v>
      </c>
      <c r="K19" s="21">
        <v>0.51086</v>
      </c>
      <c r="L19" s="21">
        <f>F19*K19</f>
        <v>22.988699999999998</v>
      </c>
      <c r="M19" s="22" t="s">
        <v>55</v>
      </c>
      <c r="N19" s="2"/>
      <c r="Z19" s="21">
        <f>IF(AQ19="5",BJ19,0)</f>
        <v>0</v>
      </c>
      <c r="AB19" s="21">
        <f>IF(AQ19="1",BH19,0)</f>
        <v>0</v>
      </c>
      <c r="AC19" s="21">
        <f>IF(AQ19="1",BI19,0)</f>
        <v>0</v>
      </c>
      <c r="AD19" s="21">
        <f>IF(AQ19="7",BH19,0)</f>
        <v>0</v>
      </c>
      <c r="AE19" s="21">
        <f>IF(AQ19="7",BI19,0)</f>
        <v>0</v>
      </c>
      <c r="AF19" s="21">
        <f>IF(AQ19="2",BH19,0)</f>
        <v>0</v>
      </c>
      <c r="AG19" s="21">
        <f>IF(AQ19="2",BI19,0)</f>
        <v>0</v>
      </c>
      <c r="AH19" s="21">
        <f>IF(AQ19="0",BJ19,0)</f>
        <v>0</v>
      </c>
      <c r="AI19" s="10"/>
      <c r="AJ19" s="21">
        <f>IF(AN19=0,J19,0)</f>
        <v>0</v>
      </c>
      <c r="AK19" s="21">
        <f>IF(AN19=15,J19,0)</f>
        <v>0</v>
      </c>
      <c r="AL19" s="21">
        <f>IF(AN19=21,J19,0)</f>
        <v>0</v>
      </c>
      <c r="AN19" s="21">
        <v>21</v>
      </c>
      <c r="AO19" s="21">
        <f>G19*0</f>
        <v>0</v>
      </c>
      <c r="AP19" s="21">
        <f>G19*(1-0)</f>
        <v>0</v>
      </c>
      <c r="AQ19" s="23" t="s">
        <v>51</v>
      </c>
      <c r="AV19" s="21">
        <f>AW19+AX19</f>
        <v>0</v>
      </c>
      <c r="AW19" s="21">
        <f>F19*AO19</f>
        <v>0</v>
      </c>
      <c r="AX19" s="21">
        <f>F19*AP19</f>
        <v>0</v>
      </c>
      <c r="AY19" s="23" t="s">
        <v>56</v>
      </c>
      <c r="AZ19" s="23" t="s">
        <v>57</v>
      </c>
      <c r="BA19" s="10" t="s">
        <v>58</v>
      </c>
      <c r="BC19" s="21">
        <f>AW19+AX19</f>
        <v>0</v>
      </c>
      <c r="BD19" s="21">
        <f>G19/(100-BE19)*100</f>
        <v>0</v>
      </c>
      <c r="BE19" s="21">
        <v>0</v>
      </c>
      <c r="BF19" s="21">
        <f>L19</f>
        <v>22.988699999999998</v>
      </c>
      <c r="BH19" s="21">
        <f>F19*AO19</f>
        <v>0</v>
      </c>
      <c r="BI19" s="21">
        <f>F19*AP19</f>
        <v>0</v>
      </c>
      <c r="BJ19" s="21">
        <f>F19*G19</f>
        <v>0</v>
      </c>
      <c r="BK19" s="21" t="s">
        <v>59</v>
      </c>
      <c r="BL19" s="21">
        <v>11</v>
      </c>
    </row>
    <row r="20" spans="1:14" ht="15">
      <c r="A20" s="2"/>
      <c r="C20" s="24" t="s">
        <v>275</v>
      </c>
      <c r="D20" s="24"/>
      <c r="F20" s="25">
        <v>45</v>
      </c>
      <c r="M20" s="26"/>
      <c r="N20" s="2"/>
    </row>
    <row r="21" spans="1:14" ht="15">
      <c r="A21" s="2"/>
      <c r="B21" s="27" t="s">
        <v>61</v>
      </c>
      <c r="C21" s="634" t="s">
        <v>436</v>
      </c>
      <c r="D21" s="635"/>
      <c r="E21" s="635"/>
      <c r="F21" s="635"/>
      <c r="G21" s="635"/>
      <c r="H21" s="635"/>
      <c r="I21" s="635"/>
      <c r="J21" s="635"/>
      <c r="K21" s="635"/>
      <c r="L21" s="635"/>
      <c r="M21" s="636"/>
      <c r="N21" s="2"/>
    </row>
    <row r="22" spans="1:64" ht="15">
      <c r="A22" s="20" t="s">
        <v>71</v>
      </c>
      <c r="B22" s="3" t="s">
        <v>437</v>
      </c>
      <c r="C22" s="618" t="s">
        <v>438</v>
      </c>
      <c r="D22" s="608"/>
      <c r="E22" s="3" t="s">
        <v>54</v>
      </c>
      <c r="F22" s="21">
        <v>65</v>
      </c>
      <c r="G22" s="537"/>
      <c r="H22" s="21">
        <f>F22*AO22</f>
        <v>0</v>
      </c>
      <c r="I22" s="21">
        <f>F22*AP22</f>
        <v>0</v>
      </c>
      <c r="J22" s="21">
        <f>F22*G22</f>
        <v>0</v>
      </c>
      <c r="K22" s="21">
        <v>0.11</v>
      </c>
      <c r="L22" s="21">
        <f>F22*K22</f>
        <v>7.15</v>
      </c>
      <c r="M22" s="22" t="s">
        <v>55</v>
      </c>
      <c r="N22" s="2"/>
      <c r="Z22" s="21">
        <f>IF(AQ22="5",BJ22,0)</f>
        <v>0</v>
      </c>
      <c r="AB22" s="21">
        <f>IF(AQ22="1",BH22,0)</f>
        <v>0</v>
      </c>
      <c r="AC22" s="21">
        <f>IF(AQ22="1",BI22,0)</f>
        <v>0</v>
      </c>
      <c r="AD22" s="21">
        <f>IF(AQ22="7",BH22,0)</f>
        <v>0</v>
      </c>
      <c r="AE22" s="21">
        <f>IF(AQ22="7",BI22,0)</f>
        <v>0</v>
      </c>
      <c r="AF22" s="21">
        <f>IF(AQ22="2",BH22,0)</f>
        <v>0</v>
      </c>
      <c r="AG22" s="21">
        <f>IF(AQ22="2",BI22,0)</f>
        <v>0</v>
      </c>
      <c r="AH22" s="21">
        <f>IF(AQ22="0",BJ22,0)</f>
        <v>0</v>
      </c>
      <c r="AI22" s="10"/>
      <c r="AJ22" s="21">
        <f>IF(AN22=0,J22,0)</f>
        <v>0</v>
      </c>
      <c r="AK22" s="21">
        <f>IF(AN22=15,J22,0)</f>
        <v>0</v>
      </c>
      <c r="AL22" s="21">
        <f>IF(AN22=21,J22,0)</f>
        <v>0</v>
      </c>
      <c r="AN22" s="21">
        <v>21</v>
      </c>
      <c r="AO22" s="21">
        <f>G22*0</f>
        <v>0</v>
      </c>
      <c r="AP22" s="21">
        <f>G22*(1-0)</f>
        <v>0</v>
      </c>
      <c r="AQ22" s="23" t="s">
        <v>51</v>
      </c>
      <c r="AV22" s="21">
        <f>AW22+AX22</f>
        <v>0</v>
      </c>
      <c r="AW22" s="21">
        <f>F22*AO22</f>
        <v>0</v>
      </c>
      <c r="AX22" s="21">
        <f>F22*AP22</f>
        <v>0</v>
      </c>
      <c r="AY22" s="23" t="s">
        <v>56</v>
      </c>
      <c r="AZ22" s="23" t="s">
        <v>57</v>
      </c>
      <c r="BA22" s="10" t="s">
        <v>58</v>
      </c>
      <c r="BC22" s="21">
        <f>AW22+AX22</f>
        <v>0</v>
      </c>
      <c r="BD22" s="21">
        <f>G22/(100-BE22)*100</f>
        <v>0</v>
      </c>
      <c r="BE22" s="21">
        <v>0</v>
      </c>
      <c r="BF22" s="21">
        <f>L22</f>
        <v>7.15</v>
      </c>
      <c r="BH22" s="21">
        <f>F22*AO22</f>
        <v>0</v>
      </c>
      <c r="BI22" s="21">
        <f>F22*AP22</f>
        <v>0</v>
      </c>
      <c r="BJ22" s="21">
        <f>F22*G22</f>
        <v>0</v>
      </c>
      <c r="BK22" s="21" t="s">
        <v>59</v>
      </c>
      <c r="BL22" s="21">
        <v>11</v>
      </c>
    </row>
    <row r="23" spans="1:14" ht="15">
      <c r="A23" s="2"/>
      <c r="C23" s="24" t="s">
        <v>369</v>
      </c>
      <c r="D23" s="24"/>
      <c r="F23" s="25">
        <v>65</v>
      </c>
      <c r="M23" s="26"/>
      <c r="N23" s="2"/>
    </row>
    <row r="24" spans="1:64" ht="15">
      <c r="A24" s="20" t="s">
        <v>78</v>
      </c>
      <c r="B24" s="3" t="s">
        <v>439</v>
      </c>
      <c r="C24" s="618" t="s">
        <v>440</v>
      </c>
      <c r="D24" s="608"/>
      <c r="E24" s="3" t="s">
        <v>54</v>
      </c>
      <c r="F24" s="21">
        <v>59</v>
      </c>
      <c r="G24" s="537"/>
      <c r="H24" s="21">
        <f>F24*AO24</f>
        <v>0</v>
      </c>
      <c r="I24" s="21">
        <f>F24*AP24</f>
        <v>0</v>
      </c>
      <c r="J24" s="21">
        <f>F24*G24</f>
        <v>0</v>
      </c>
      <c r="K24" s="21">
        <v>0.132</v>
      </c>
      <c r="L24" s="21">
        <f>F24*K24</f>
        <v>7.788</v>
      </c>
      <c r="M24" s="22" t="s">
        <v>55</v>
      </c>
      <c r="N24" s="2"/>
      <c r="Z24" s="21">
        <f>IF(AQ24="5",BJ24,0)</f>
        <v>0</v>
      </c>
      <c r="AB24" s="21">
        <f>IF(AQ24="1",BH24,0)</f>
        <v>0</v>
      </c>
      <c r="AC24" s="21">
        <f>IF(AQ24="1",BI24,0)</f>
        <v>0</v>
      </c>
      <c r="AD24" s="21">
        <f>IF(AQ24="7",BH24,0)</f>
        <v>0</v>
      </c>
      <c r="AE24" s="21">
        <f>IF(AQ24="7",BI24,0)</f>
        <v>0</v>
      </c>
      <c r="AF24" s="21">
        <f>IF(AQ24="2",BH24,0)</f>
        <v>0</v>
      </c>
      <c r="AG24" s="21">
        <f>IF(AQ24="2",BI24,0)</f>
        <v>0</v>
      </c>
      <c r="AH24" s="21">
        <f>IF(AQ24="0",BJ24,0)</f>
        <v>0</v>
      </c>
      <c r="AI24" s="10"/>
      <c r="AJ24" s="21">
        <f>IF(AN24=0,J24,0)</f>
        <v>0</v>
      </c>
      <c r="AK24" s="21">
        <f>IF(AN24=15,J24,0)</f>
        <v>0</v>
      </c>
      <c r="AL24" s="21">
        <f>IF(AN24=21,J24,0)</f>
        <v>0</v>
      </c>
      <c r="AN24" s="21">
        <v>21</v>
      </c>
      <c r="AO24" s="21">
        <f>G24*0</f>
        <v>0</v>
      </c>
      <c r="AP24" s="21">
        <f>G24*(1-0)</f>
        <v>0</v>
      </c>
      <c r="AQ24" s="23" t="s">
        <v>51</v>
      </c>
      <c r="AV24" s="21">
        <f>AW24+AX24</f>
        <v>0</v>
      </c>
      <c r="AW24" s="21">
        <f>F24*AO24</f>
        <v>0</v>
      </c>
      <c r="AX24" s="21">
        <f>F24*AP24</f>
        <v>0</v>
      </c>
      <c r="AY24" s="23" t="s">
        <v>56</v>
      </c>
      <c r="AZ24" s="23" t="s">
        <v>57</v>
      </c>
      <c r="BA24" s="10" t="s">
        <v>58</v>
      </c>
      <c r="BC24" s="21">
        <f>AW24+AX24</f>
        <v>0</v>
      </c>
      <c r="BD24" s="21">
        <f>G24/(100-BE24)*100</f>
        <v>0</v>
      </c>
      <c r="BE24" s="21">
        <v>0</v>
      </c>
      <c r="BF24" s="21">
        <f>L24</f>
        <v>7.788</v>
      </c>
      <c r="BH24" s="21">
        <f>F24*AO24</f>
        <v>0</v>
      </c>
      <c r="BI24" s="21">
        <f>F24*AP24</f>
        <v>0</v>
      </c>
      <c r="BJ24" s="21">
        <f>F24*G24</f>
        <v>0</v>
      </c>
      <c r="BK24" s="21" t="s">
        <v>59</v>
      </c>
      <c r="BL24" s="21">
        <v>11</v>
      </c>
    </row>
    <row r="25" spans="1:14" ht="15">
      <c r="A25" s="2"/>
      <c r="C25" s="24" t="s">
        <v>185</v>
      </c>
      <c r="D25" s="24"/>
      <c r="F25" s="25">
        <v>59</v>
      </c>
      <c r="M25" s="26"/>
      <c r="N25" s="2"/>
    </row>
    <row r="26" spans="1:14" ht="25.65" customHeight="1">
      <c r="A26" s="2"/>
      <c r="B26" s="27" t="s">
        <v>61</v>
      </c>
      <c r="C26" s="634" t="s">
        <v>433</v>
      </c>
      <c r="D26" s="635"/>
      <c r="E26" s="635"/>
      <c r="F26" s="635"/>
      <c r="G26" s="635"/>
      <c r="H26" s="635"/>
      <c r="I26" s="635"/>
      <c r="J26" s="635"/>
      <c r="K26" s="635"/>
      <c r="L26" s="635"/>
      <c r="M26" s="636"/>
      <c r="N26" s="2"/>
    </row>
    <row r="27" spans="1:64" ht="15">
      <c r="A27" s="20" t="s">
        <v>85</v>
      </c>
      <c r="B27" s="3" t="s">
        <v>441</v>
      </c>
      <c r="C27" s="618" t="s">
        <v>442</v>
      </c>
      <c r="D27" s="608"/>
      <c r="E27" s="3" t="s">
        <v>54</v>
      </c>
      <c r="F27" s="21">
        <v>52</v>
      </c>
      <c r="G27" s="537"/>
      <c r="H27" s="21">
        <f>F27*AO27</f>
        <v>0</v>
      </c>
      <c r="I27" s="21">
        <f>F27*AP27</f>
        <v>0</v>
      </c>
      <c r="J27" s="21">
        <f>F27*G27</f>
        <v>0</v>
      </c>
      <c r="K27" s="21">
        <v>0.11</v>
      </c>
      <c r="L27" s="21">
        <f>F27*K27</f>
        <v>5.72</v>
      </c>
      <c r="M27" s="22" t="s">
        <v>55</v>
      </c>
      <c r="N27" s="2"/>
      <c r="Z27" s="21">
        <f>IF(AQ27="5",BJ27,0)</f>
        <v>0</v>
      </c>
      <c r="AB27" s="21">
        <f>IF(AQ27="1",BH27,0)</f>
        <v>0</v>
      </c>
      <c r="AC27" s="21">
        <f>IF(AQ27="1",BI27,0)</f>
        <v>0</v>
      </c>
      <c r="AD27" s="21">
        <f>IF(AQ27="7",BH27,0)</f>
        <v>0</v>
      </c>
      <c r="AE27" s="21">
        <f>IF(AQ27="7",BI27,0)</f>
        <v>0</v>
      </c>
      <c r="AF27" s="21">
        <f>IF(AQ27="2",BH27,0)</f>
        <v>0</v>
      </c>
      <c r="AG27" s="21">
        <f>IF(AQ27="2",BI27,0)</f>
        <v>0</v>
      </c>
      <c r="AH27" s="21">
        <f>IF(AQ27="0",BJ27,0)</f>
        <v>0</v>
      </c>
      <c r="AI27" s="10"/>
      <c r="AJ27" s="21">
        <f>IF(AN27=0,J27,0)</f>
        <v>0</v>
      </c>
      <c r="AK27" s="21">
        <f>IF(AN27=15,J27,0)</f>
        <v>0</v>
      </c>
      <c r="AL27" s="21">
        <f>IF(AN27=21,J27,0)</f>
        <v>0</v>
      </c>
      <c r="AN27" s="21">
        <v>21</v>
      </c>
      <c r="AO27" s="21">
        <f>G27*0</f>
        <v>0</v>
      </c>
      <c r="AP27" s="21">
        <f>G27*(1-0)</f>
        <v>0</v>
      </c>
      <c r="AQ27" s="23" t="s">
        <v>51</v>
      </c>
      <c r="AV27" s="21">
        <f>AW27+AX27</f>
        <v>0</v>
      </c>
      <c r="AW27" s="21">
        <f>F27*AO27</f>
        <v>0</v>
      </c>
      <c r="AX27" s="21">
        <f>F27*AP27</f>
        <v>0</v>
      </c>
      <c r="AY27" s="23" t="s">
        <v>56</v>
      </c>
      <c r="AZ27" s="23" t="s">
        <v>57</v>
      </c>
      <c r="BA27" s="10" t="s">
        <v>58</v>
      </c>
      <c r="BC27" s="21">
        <f>AW27+AX27</f>
        <v>0</v>
      </c>
      <c r="BD27" s="21">
        <f>G27/(100-BE27)*100</f>
        <v>0</v>
      </c>
      <c r="BE27" s="21">
        <v>0</v>
      </c>
      <c r="BF27" s="21">
        <f>L27</f>
        <v>5.72</v>
      </c>
      <c r="BH27" s="21">
        <f>F27*AO27</f>
        <v>0</v>
      </c>
      <c r="BI27" s="21">
        <f>F27*AP27</f>
        <v>0</v>
      </c>
      <c r="BJ27" s="21">
        <f>F27*G27</f>
        <v>0</v>
      </c>
      <c r="BK27" s="21" t="s">
        <v>59</v>
      </c>
      <c r="BL27" s="21">
        <v>11</v>
      </c>
    </row>
    <row r="28" spans="1:14" ht="15">
      <c r="A28" s="2"/>
      <c r="C28" s="24" t="s">
        <v>319</v>
      </c>
      <c r="D28" s="24"/>
      <c r="F28" s="25">
        <v>52</v>
      </c>
      <c r="M28" s="26"/>
      <c r="N28" s="2"/>
    </row>
    <row r="29" spans="1:14" ht="25.65" customHeight="1">
      <c r="A29" s="2"/>
      <c r="B29" s="27" t="s">
        <v>61</v>
      </c>
      <c r="C29" s="634" t="s">
        <v>433</v>
      </c>
      <c r="D29" s="635"/>
      <c r="E29" s="635"/>
      <c r="F29" s="635"/>
      <c r="G29" s="635"/>
      <c r="H29" s="635"/>
      <c r="I29" s="635"/>
      <c r="J29" s="635"/>
      <c r="K29" s="635"/>
      <c r="L29" s="635"/>
      <c r="M29" s="636"/>
      <c r="N29" s="2"/>
    </row>
    <row r="30" spans="1:64" ht="15">
      <c r="A30" s="20" t="s">
        <v>89</v>
      </c>
      <c r="B30" s="3" t="s">
        <v>443</v>
      </c>
      <c r="C30" s="618" t="s">
        <v>444</v>
      </c>
      <c r="D30" s="608"/>
      <c r="E30" s="3" t="s">
        <v>54</v>
      </c>
      <c r="F30" s="21">
        <v>35</v>
      </c>
      <c r="G30" s="537"/>
      <c r="H30" s="21">
        <f>F30*AO30</f>
        <v>0</v>
      </c>
      <c r="I30" s="21">
        <f>F30*AP30</f>
        <v>0</v>
      </c>
      <c r="J30" s="21">
        <f>F30*G30</f>
        <v>0</v>
      </c>
      <c r="K30" s="21">
        <v>0.33</v>
      </c>
      <c r="L30" s="21">
        <f>F30*K30</f>
        <v>11.55</v>
      </c>
      <c r="M30" s="22" t="s">
        <v>55</v>
      </c>
      <c r="N30" s="2"/>
      <c r="Z30" s="21">
        <f>IF(AQ30="5",BJ30,0)</f>
        <v>0</v>
      </c>
      <c r="AB30" s="21">
        <f>IF(AQ30="1",BH30,0)</f>
        <v>0</v>
      </c>
      <c r="AC30" s="21">
        <f>IF(AQ30="1",BI30,0)</f>
        <v>0</v>
      </c>
      <c r="AD30" s="21">
        <f>IF(AQ30="7",BH30,0)</f>
        <v>0</v>
      </c>
      <c r="AE30" s="21">
        <f>IF(AQ30="7",BI30,0)</f>
        <v>0</v>
      </c>
      <c r="AF30" s="21">
        <f>IF(AQ30="2",BH30,0)</f>
        <v>0</v>
      </c>
      <c r="AG30" s="21">
        <f>IF(AQ30="2",BI30,0)</f>
        <v>0</v>
      </c>
      <c r="AH30" s="21">
        <f>IF(AQ30="0",BJ30,0)</f>
        <v>0</v>
      </c>
      <c r="AI30" s="10"/>
      <c r="AJ30" s="21">
        <f>IF(AN30=0,J30,0)</f>
        <v>0</v>
      </c>
      <c r="AK30" s="21">
        <f>IF(AN30=15,J30,0)</f>
        <v>0</v>
      </c>
      <c r="AL30" s="21">
        <f>IF(AN30=21,J30,0)</f>
        <v>0</v>
      </c>
      <c r="AN30" s="21">
        <v>21</v>
      </c>
      <c r="AO30" s="21">
        <f>G30*0</f>
        <v>0</v>
      </c>
      <c r="AP30" s="21">
        <f>G30*(1-0)</f>
        <v>0</v>
      </c>
      <c r="AQ30" s="23" t="s">
        <v>51</v>
      </c>
      <c r="AV30" s="21">
        <f>AW30+AX30</f>
        <v>0</v>
      </c>
      <c r="AW30" s="21">
        <f>F30*AO30</f>
        <v>0</v>
      </c>
      <c r="AX30" s="21">
        <f>F30*AP30</f>
        <v>0</v>
      </c>
      <c r="AY30" s="23" t="s">
        <v>56</v>
      </c>
      <c r="AZ30" s="23" t="s">
        <v>57</v>
      </c>
      <c r="BA30" s="10" t="s">
        <v>58</v>
      </c>
      <c r="BC30" s="21">
        <f>AW30+AX30</f>
        <v>0</v>
      </c>
      <c r="BD30" s="21">
        <f>G30/(100-BE30)*100</f>
        <v>0</v>
      </c>
      <c r="BE30" s="21">
        <v>0</v>
      </c>
      <c r="BF30" s="21">
        <f>L30</f>
        <v>11.55</v>
      </c>
      <c r="BH30" s="21">
        <f>F30*AO30</f>
        <v>0</v>
      </c>
      <c r="BI30" s="21">
        <f>F30*AP30</f>
        <v>0</v>
      </c>
      <c r="BJ30" s="21">
        <f>F30*G30</f>
        <v>0</v>
      </c>
      <c r="BK30" s="21" t="s">
        <v>59</v>
      </c>
      <c r="BL30" s="21">
        <v>11</v>
      </c>
    </row>
    <row r="31" spans="1:14" ht="15">
      <c r="A31" s="2"/>
      <c r="C31" s="24" t="s">
        <v>112</v>
      </c>
      <c r="D31" s="24"/>
      <c r="F31" s="25">
        <v>35</v>
      </c>
      <c r="M31" s="26"/>
      <c r="N31" s="2"/>
    </row>
    <row r="32" spans="1:64" ht="15">
      <c r="A32" s="20" t="s">
        <v>94</v>
      </c>
      <c r="B32" s="3" t="s">
        <v>68</v>
      </c>
      <c r="C32" s="618" t="s">
        <v>69</v>
      </c>
      <c r="D32" s="608"/>
      <c r="E32" s="3" t="s">
        <v>54</v>
      </c>
      <c r="F32" s="21">
        <v>51</v>
      </c>
      <c r="G32" s="537"/>
      <c r="H32" s="21">
        <f>F32*AO32</f>
        <v>0</v>
      </c>
      <c r="I32" s="21">
        <f>F32*AP32</f>
        <v>0</v>
      </c>
      <c r="J32" s="21">
        <f>F32*G32</f>
        <v>0</v>
      </c>
      <c r="K32" s="21">
        <v>0.225</v>
      </c>
      <c r="L32" s="21">
        <f>F32*K32</f>
        <v>11.475</v>
      </c>
      <c r="M32" s="22" t="s">
        <v>55</v>
      </c>
      <c r="N32" s="2"/>
      <c r="Z32" s="21">
        <f>IF(AQ32="5",BJ32,0)</f>
        <v>0</v>
      </c>
      <c r="AB32" s="21">
        <f>IF(AQ32="1",BH32,0)</f>
        <v>0</v>
      </c>
      <c r="AC32" s="21">
        <f>IF(AQ32="1",BI32,0)</f>
        <v>0</v>
      </c>
      <c r="AD32" s="21">
        <f>IF(AQ32="7",BH32,0)</f>
        <v>0</v>
      </c>
      <c r="AE32" s="21">
        <f>IF(AQ32="7",BI32,0)</f>
        <v>0</v>
      </c>
      <c r="AF32" s="21">
        <f>IF(AQ32="2",BH32,0)</f>
        <v>0</v>
      </c>
      <c r="AG32" s="21">
        <f>IF(AQ32="2",BI32,0)</f>
        <v>0</v>
      </c>
      <c r="AH32" s="21">
        <f>IF(AQ32="0",BJ32,0)</f>
        <v>0</v>
      </c>
      <c r="AI32" s="10"/>
      <c r="AJ32" s="21">
        <f>IF(AN32=0,J32,0)</f>
        <v>0</v>
      </c>
      <c r="AK32" s="21">
        <f>IF(AN32=15,J32,0)</f>
        <v>0</v>
      </c>
      <c r="AL32" s="21">
        <f>IF(AN32=21,J32,0)</f>
        <v>0</v>
      </c>
      <c r="AN32" s="21">
        <v>21</v>
      </c>
      <c r="AO32" s="21">
        <f>G32*0</f>
        <v>0</v>
      </c>
      <c r="AP32" s="21">
        <f>G32*(1-0)</f>
        <v>0</v>
      </c>
      <c r="AQ32" s="23" t="s">
        <v>51</v>
      </c>
      <c r="AV32" s="21">
        <f>AW32+AX32</f>
        <v>0</v>
      </c>
      <c r="AW32" s="21">
        <f>F32*AO32</f>
        <v>0</v>
      </c>
      <c r="AX32" s="21">
        <f>F32*AP32</f>
        <v>0</v>
      </c>
      <c r="AY32" s="23" t="s">
        <v>56</v>
      </c>
      <c r="AZ32" s="23" t="s">
        <v>57</v>
      </c>
      <c r="BA32" s="10" t="s">
        <v>58</v>
      </c>
      <c r="BC32" s="21">
        <f>AW32+AX32</f>
        <v>0</v>
      </c>
      <c r="BD32" s="21">
        <f>G32/(100-BE32)*100</f>
        <v>0</v>
      </c>
      <c r="BE32" s="21">
        <v>0</v>
      </c>
      <c r="BF32" s="21">
        <f>L32</f>
        <v>11.475</v>
      </c>
      <c r="BH32" s="21">
        <f>F32*AO32</f>
        <v>0</v>
      </c>
      <c r="BI32" s="21">
        <f>F32*AP32</f>
        <v>0</v>
      </c>
      <c r="BJ32" s="21">
        <f>F32*G32</f>
        <v>0</v>
      </c>
      <c r="BK32" s="21" t="s">
        <v>59</v>
      </c>
      <c r="BL32" s="21">
        <v>11</v>
      </c>
    </row>
    <row r="33" spans="1:14" ht="15">
      <c r="A33" s="2"/>
      <c r="C33" s="24" t="s">
        <v>315</v>
      </c>
      <c r="D33" s="24"/>
      <c r="F33" s="25">
        <v>51</v>
      </c>
      <c r="M33" s="26"/>
      <c r="N33" s="2"/>
    </row>
    <row r="34" spans="1:64" ht="15">
      <c r="A34" s="20" t="s">
        <v>98</v>
      </c>
      <c r="B34" s="3" t="s">
        <v>72</v>
      </c>
      <c r="C34" s="618" t="s">
        <v>73</v>
      </c>
      <c r="D34" s="608"/>
      <c r="E34" s="3" t="s">
        <v>74</v>
      </c>
      <c r="F34" s="21">
        <v>51</v>
      </c>
      <c r="G34" s="537"/>
      <c r="H34" s="21">
        <f>F34*AO34</f>
        <v>0</v>
      </c>
      <c r="I34" s="21">
        <f>F34*AP34</f>
        <v>0</v>
      </c>
      <c r="J34" s="21">
        <f>F34*G34</f>
        <v>0</v>
      </c>
      <c r="K34" s="21">
        <v>0.27</v>
      </c>
      <c r="L34" s="21">
        <f>F34*K34</f>
        <v>13.770000000000001</v>
      </c>
      <c r="M34" s="22" t="s">
        <v>55</v>
      </c>
      <c r="N34" s="2"/>
      <c r="Z34" s="21">
        <f>IF(AQ34="5",BJ34,0)</f>
        <v>0</v>
      </c>
      <c r="AB34" s="21">
        <f>IF(AQ34="1",BH34,0)</f>
        <v>0</v>
      </c>
      <c r="AC34" s="21">
        <f>IF(AQ34="1",BI34,0)</f>
        <v>0</v>
      </c>
      <c r="AD34" s="21">
        <f>IF(AQ34="7",BH34,0)</f>
        <v>0</v>
      </c>
      <c r="AE34" s="21">
        <f>IF(AQ34="7",BI34,0)</f>
        <v>0</v>
      </c>
      <c r="AF34" s="21">
        <f>IF(AQ34="2",BH34,0)</f>
        <v>0</v>
      </c>
      <c r="AG34" s="21">
        <f>IF(AQ34="2",BI34,0)</f>
        <v>0</v>
      </c>
      <c r="AH34" s="21">
        <f>IF(AQ34="0",BJ34,0)</f>
        <v>0</v>
      </c>
      <c r="AI34" s="10"/>
      <c r="AJ34" s="21">
        <f>IF(AN34=0,J34,0)</f>
        <v>0</v>
      </c>
      <c r="AK34" s="21">
        <f>IF(AN34=15,J34,0)</f>
        <v>0</v>
      </c>
      <c r="AL34" s="21">
        <f>IF(AN34=21,J34,0)</f>
        <v>0</v>
      </c>
      <c r="AN34" s="21">
        <v>21</v>
      </c>
      <c r="AO34" s="21">
        <f>G34*0</f>
        <v>0</v>
      </c>
      <c r="AP34" s="21">
        <f>G34*(1-0)</f>
        <v>0</v>
      </c>
      <c r="AQ34" s="23" t="s">
        <v>51</v>
      </c>
      <c r="AV34" s="21">
        <f>AW34+AX34</f>
        <v>0</v>
      </c>
      <c r="AW34" s="21">
        <f>F34*AO34</f>
        <v>0</v>
      </c>
      <c r="AX34" s="21">
        <f>F34*AP34</f>
        <v>0</v>
      </c>
      <c r="AY34" s="23" t="s">
        <v>56</v>
      </c>
      <c r="AZ34" s="23" t="s">
        <v>57</v>
      </c>
      <c r="BA34" s="10" t="s">
        <v>58</v>
      </c>
      <c r="BC34" s="21">
        <f>AW34+AX34</f>
        <v>0</v>
      </c>
      <c r="BD34" s="21">
        <f>G34/(100-BE34)*100</f>
        <v>0</v>
      </c>
      <c r="BE34" s="21">
        <v>0</v>
      </c>
      <c r="BF34" s="21">
        <f>L34</f>
        <v>13.770000000000001</v>
      </c>
      <c r="BH34" s="21">
        <f>F34*AO34</f>
        <v>0</v>
      </c>
      <c r="BI34" s="21">
        <f>F34*AP34</f>
        <v>0</v>
      </c>
      <c r="BJ34" s="21">
        <f>F34*G34</f>
        <v>0</v>
      </c>
      <c r="BK34" s="21" t="s">
        <v>59</v>
      </c>
      <c r="BL34" s="21">
        <v>11</v>
      </c>
    </row>
    <row r="35" spans="1:14" ht="15">
      <c r="A35" s="2"/>
      <c r="C35" s="24" t="s">
        <v>315</v>
      </c>
      <c r="D35" s="24"/>
      <c r="F35" s="25">
        <v>51</v>
      </c>
      <c r="M35" s="26"/>
      <c r="N35" s="2"/>
    </row>
    <row r="36" spans="1:47" ht="15">
      <c r="A36" s="41"/>
      <c r="B36" s="42" t="s">
        <v>76</v>
      </c>
      <c r="C36" s="637" t="s">
        <v>77</v>
      </c>
      <c r="D36" s="638"/>
      <c r="E36" s="43" t="s">
        <v>4</v>
      </c>
      <c r="F36" s="43" t="s">
        <v>4</v>
      </c>
      <c r="G36" s="43" t="s">
        <v>4</v>
      </c>
      <c r="H36" s="44">
        <f>SUM(H37:H42)</f>
        <v>0</v>
      </c>
      <c r="I36" s="44">
        <f>SUM(I37:I42)</f>
        <v>0</v>
      </c>
      <c r="J36" s="44">
        <f>SUM(J37:J42)</f>
        <v>0</v>
      </c>
      <c r="K36" s="45"/>
      <c r="L36" s="44">
        <f>SUM(L37:L42)</f>
        <v>0</v>
      </c>
      <c r="M36" s="46"/>
      <c r="N36" s="2"/>
      <c r="AI36" s="10"/>
      <c r="AS36" s="19">
        <f>SUM(AJ37:AJ42)</f>
        <v>0</v>
      </c>
      <c r="AT36" s="19">
        <f>SUM(AK37:AK42)</f>
        <v>0</v>
      </c>
      <c r="AU36" s="19">
        <f>SUM(AL37:AL42)</f>
        <v>0</v>
      </c>
    </row>
    <row r="37" spans="1:64" ht="15">
      <c r="A37" s="20" t="s">
        <v>104</v>
      </c>
      <c r="B37" s="3" t="s">
        <v>79</v>
      </c>
      <c r="C37" s="618" t="s">
        <v>80</v>
      </c>
      <c r="D37" s="608"/>
      <c r="E37" s="3" t="s">
        <v>81</v>
      </c>
      <c r="F37" s="21">
        <v>1003.4</v>
      </c>
      <c r="G37" s="537"/>
      <c r="H37" s="21">
        <f>F37*AO37</f>
        <v>0</v>
      </c>
      <c r="I37" s="21">
        <f>F37*AP37</f>
        <v>0</v>
      </c>
      <c r="J37" s="21">
        <f>F37*G37</f>
        <v>0</v>
      </c>
      <c r="K37" s="21">
        <v>0</v>
      </c>
      <c r="L37" s="21">
        <f>F37*K37</f>
        <v>0</v>
      </c>
      <c r="M37" s="22" t="s">
        <v>55</v>
      </c>
      <c r="N37" s="2"/>
      <c r="Z37" s="21">
        <f>IF(AQ37="5",BJ37,0)</f>
        <v>0</v>
      </c>
      <c r="AB37" s="21">
        <f>IF(AQ37="1",BH37,0)</f>
        <v>0</v>
      </c>
      <c r="AC37" s="21">
        <f>IF(AQ37="1",BI37,0)</f>
        <v>0</v>
      </c>
      <c r="AD37" s="21">
        <f>IF(AQ37="7",BH37,0)</f>
        <v>0</v>
      </c>
      <c r="AE37" s="21">
        <f>IF(AQ37="7",BI37,0)</f>
        <v>0</v>
      </c>
      <c r="AF37" s="21">
        <f>IF(AQ37="2",BH37,0)</f>
        <v>0</v>
      </c>
      <c r="AG37" s="21">
        <f>IF(AQ37="2",BI37,0)</f>
        <v>0</v>
      </c>
      <c r="AH37" s="21">
        <f>IF(AQ37="0",BJ37,0)</f>
        <v>0</v>
      </c>
      <c r="AI37" s="10"/>
      <c r="AJ37" s="21">
        <f>IF(AN37=0,J37,0)</f>
        <v>0</v>
      </c>
      <c r="AK37" s="21">
        <f>IF(AN37=15,J37,0)</f>
        <v>0</v>
      </c>
      <c r="AL37" s="21">
        <f>IF(AN37=21,J37,0)</f>
        <v>0</v>
      </c>
      <c r="AN37" s="21">
        <v>21</v>
      </c>
      <c r="AO37" s="21">
        <f>G37*0</f>
        <v>0</v>
      </c>
      <c r="AP37" s="21">
        <f>G37*(1-0)</f>
        <v>0</v>
      </c>
      <c r="AQ37" s="23" t="s">
        <v>51</v>
      </c>
      <c r="AV37" s="21">
        <f>AW37+AX37</f>
        <v>0</v>
      </c>
      <c r="AW37" s="21">
        <f>F37*AO37</f>
        <v>0</v>
      </c>
      <c r="AX37" s="21">
        <f>F37*AP37</f>
        <v>0</v>
      </c>
      <c r="AY37" s="23" t="s">
        <v>82</v>
      </c>
      <c r="AZ37" s="23" t="s">
        <v>57</v>
      </c>
      <c r="BA37" s="10" t="s">
        <v>58</v>
      </c>
      <c r="BC37" s="21">
        <f>AW37+AX37</f>
        <v>0</v>
      </c>
      <c r="BD37" s="21">
        <f>G37/(100-BE37)*100</f>
        <v>0</v>
      </c>
      <c r="BE37" s="21">
        <v>0</v>
      </c>
      <c r="BF37" s="21">
        <f>L37</f>
        <v>0</v>
      </c>
      <c r="BH37" s="21">
        <f>F37*AO37</f>
        <v>0</v>
      </c>
      <c r="BI37" s="21">
        <f>F37*AP37</f>
        <v>0</v>
      </c>
      <c r="BJ37" s="21">
        <f>F37*G37</f>
        <v>0</v>
      </c>
      <c r="BK37" s="21" t="s">
        <v>59</v>
      </c>
      <c r="BL37" s="21">
        <v>12</v>
      </c>
    </row>
    <row r="38" spans="1:14" ht="15">
      <c r="A38" s="2"/>
      <c r="C38" s="24" t="s">
        <v>445</v>
      </c>
      <c r="D38" s="24"/>
      <c r="F38" s="25">
        <v>1003.4</v>
      </c>
      <c r="M38" s="26"/>
      <c r="N38" s="2"/>
    </row>
    <row r="39" spans="1:14" ht="15">
      <c r="A39" s="2"/>
      <c r="B39" s="27" t="s">
        <v>61</v>
      </c>
      <c r="C39" s="634" t="s">
        <v>84</v>
      </c>
      <c r="D39" s="635"/>
      <c r="E39" s="635"/>
      <c r="F39" s="635"/>
      <c r="G39" s="635"/>
      <c r="H39" s="635"/>
      <c r="I39" s="635"/>
      <c r="J39" s="635"/>
      <c r="K39" s="635"/>
      <c r="L39" s="635"/>
      <c r="M39" s="636"/>
      <c r="N39" s="2"/>
    </row>
    <row r="40" spans="1:64" ht="15">
      <c r="A40" s="20" t="s">
        <v>49</v>
      </c>
      <c r="B40" s="3" t="s">
        <v>86</v>
      </c>
      <c r="C40" s="618" t="s">
        <v>87</v>
      </c>
      <c r="D40" s="608"/>
      <c r="E40" s="3" t="s">
        <v>81</v>
      </c>
      <c r="F40" s="21">
        <v>810</v>
      </c>
      <c r="G40" s="537"/>
      <c r="H40" s="21">
        <f>F40*AO40</f>
        <v>0</v>
      </c>
      <c r="I40" s="21">
        <f>F40*AP40</f>
        <v>0</v>
      </c>
      <c r="J40" s="21">
        <f>F40*G40</f>
        <v>0</v>
      </c>
      <c r="K40" s="21">
        <v>0</v>
      </c>
      <c r="L40" s="21">
        <f>F40*K40</f>
        <v>0</v>
      </c>
      <c r="M40" s="22" t="s">
        <v>55</v>
      </c>
      <c r="N40" s="2"/>
      <c r="Z40" s="21">
        <f>IF(AQ40="5",BJ40,0)</f>
        <v>0</v>
      </c>
      <c r="AB40" s="21">
        <f>IF(AQ40="1",BH40,0)</f>
        <v>0</v>
      </c>
      <c r="AC40" s="21">
        <f>IF(AQ40="1",BI40,0)</f>
        <v>0</v>
      </c>
      <c r="AD40" s="21">
        <f>IF(AQ40="7",BH40,0)</f>
        <v>0</v>
      </c>
      <c r="AE40" s="21">
        <f>IF(AQ40="7",BI40,0)</f>
        <v>0</v>
      </c>
      <c r="AF40" s="21">
        <f>IF(AQ40="2",BH40,0)</f>
        <v>0</v>
      </c>
      <c r="AG40" s="21">
        <f>IF(AQ40="2",BI40,0)</f>
        <v>0</v>
      </c>
      <c r="AH40" s="21">
        <f>IF(AQ40="0",BJ40,0)</f>
        <v>0</v>
      </c>
      <c r="AI40" s="10"/>
      <c r="AJ40" s="21">
        <f>IF(AN40=0,J40,0)</f>
        <v>0</v>
      </c>
      <c r="AK40" s="21">
        <f>IF(AN40=15,J40,0)</f>
        <v>0</v>
      </c>
      <c r="AL40" s="21">
        <f>IF(AN40=21,J40,0)</f>
        <v>0</v>
      </c>
      <c r="AN40" s="21">
        <v>21</v>
      </c>
      <c r="AO40" s="21">
        <f>G40*0</f>
        <v>0</v>
      </c>
      <c r="AP40" s="21">
        <f>G40*(1-0)</f>
        <v>0</v>
      </c>
      <c r="AQ40" s="23" t="s">
        <v>51</v>
      </c>
      <c r="AV40" s="21">
        <f>AW40+AX40</f>
        <v>0</v>
      </c>
      <c r="AW40" s="21">
        <f>F40*AO40</f>
        <v>0</v>
      </c>
      <c r="AX40" s="21">
        <f>F40*AP40</f>
        <v>0</v>
      </c>
      <c r="AY40" s="23" t="s">
        <v>82</v>
      </c>
      <c r="AZ40" s="23" t="s">
        <v>57</v>
      </c>
      <c r="BA40" s="10" t="s">
        <v>58</v>
      </c>
      <c r="BC40" s="21">
        <f>AW40+AX40</f>
        <v>0</v>
      </c>
      <c r="BD40" s="21">
        <f>G40/(100-BE40)*100</f>
        <v>0</v>
      </c>
      <c r="BE40" s="21">
        <v>0</v>
      </c>
      <c r="BF40" s="21">
        <f>L40</f>
        <v>0</v>
      </c>
      <c r="BH40" s="21">
        <f>F40*AO40</f>
        <v>0</v>
      </c>
      <c r="BI40" s="21">
        <f>F40*AP40</f>
        <v>0</v>
      </c>
      <c r="BJ40" s="21">
        <f>F40*G40</f>
        <v>0</v>
      </c>
      <c r="BK40" s="21" t="s">
        <v>59</v>
      </c>
      <c r="BL40" s="21">
        <v>12</v>
      </c>
    </row>
    <row r="41" spans="1:14" ht="15">
      <c r="A41" s="2"/>
      <c r="C41" s="24" t="s">
        <v>446</v>
      </c>
      <c r="D41" s="24"/>
      <c r="F41" s="25">
        <v>810</v>
      </c>
      <c r="M41" s="26"/>
      <c r="N41" s="2"/>
    </row>
    <row r="42" spans="1:64" ht="15">
      <c r="A42" s="20" t="s">
        <v>76</v>
      </c>
      <c r="B42" s="3" t="s">
        <v>447</v>
      </c>
      <c r="C42" s="618" t="s">
        <v>448</v>
      </c>
      <c r="D42" s="608"/>
      <c r="E42" s="3" t="s">
        <v>81</v>
      </c>
      <c r="F42" s="21">
        <v>4</v>
      </c>
      <c r="G42" s="537"/>
      <c r="H42" s="21">
        <f>F42*AO42</f>
        <v>0</v>
      </c>
      <c r="I42" s="21">
        <f>F42*AP42</f>
        <v>0</v>
      </c>
      <c r="J42" s="21">
        <f>F42*G42</f>
        <v>0</v>
      </c>
      <c r="K42" s="21">
        <v>0</v>
      </c>
      <c r="L42" s="21">
        <f>F42*K42</f>
        <v>0</v>
      </c>
      <c r="M42" s="22" t="s">
        <v>55</v>
      </c>
      <c r="N42" s="2"/>
      <c r="Z42" s="21">
        <f>IF(AQ42="5",BJ42,0)</f>
        <v>0</v>
      </c>
      <c r="AB42" s="21">
        <f>IF(AQ42="1",BH42,0)</f>
        <v>0</v>
      </c>
      <c r="AC42" s="21">
        <f>IF(AQ42="1",BI42,0)</f>
        <v>0</v>
      </c>
      <c r="AD42" s="21">
        <f>IF(AQ42="7",BH42,0)</f>
        <v>0</v>
      </c>
      <c r="AE42" s="21">
        <f>IF(AQ42="7",BI42,0)</f>
        <v>0</v>
      </c>
      <c r="AF42" s="21">
        <f>IF(AQ42="2",BH42,0)</f>
        <v>0</v>
      </c>
      <c r="AG42" s="21">
        <f>IF(AQ42="2",BI42,0)</f>
        <v>0</v>
      </c>
      <c r="AH42" s="21">
        <f>IF(AQ42="0",BJ42,0)</f>
        <v>0</v>
      </c>
      <c r="AI42" s="10"/>
      <c r="AJ42" s="21">
        <f>IF(AN42=0,J42,0)</f>
        <v>0</v>
      </c>
      <c r="AK42" s="21">
        <f>IF(AN42=15,J42,0)</f>
        <v>0</v>
      </c>
      <c r="AL42" s="21">
        <f>IF(AN42=21,J42,0)</f>
        <v>0</v>
      </c>
      <c r="AN42" s="21">
        <v>21</v>
      </c>
      <c r="AO42" s="21">
        <f>G42*0</f>
        <v>0</v>
      </c>
      <c r="AP42" s="21">
        <f>G42*(1-0)</f>
        <v>0</v>
      </c>
      <c r="AQ42" s="23" t="s">
        <v>51</v>
      </c>
      <c r="AV42" s="21">
        <f>AW42+AX42</f>
        <v>0</v>
      </c>
      <c r="AW42" s="21">
        <f>F42*AO42</f>
        <v>0</v>
      </c>
      <c r="AX42" s="21">
        <f>F42*AP42</f>
        <v>0</v>
      </c>
      <c r="AY42" s="23" t="s">
        <v>82</v>
      </c>
      <c r="AZ42" s="23" t="s">
        <v>57</v>
      </c>
      <c r="BA42" s="10" t="s">
        <v>58</v>
      </c>
      <c r="BC42" s="21">
        <f>AW42+AX42</f>
        <v>0</v>
      </c>
      <c r="BD42" s="21">
        <f>G42/(100-BE42)*100</f>
        <v>0</v>
      </c>
      <c r="BE42" s="21">
        <v>0</v>
      </c>
      <c r="BF42" s="21">
        <f>L42</f>
        <v>0</v>
      </c>
      <c r="BH42" s="21">
        <f>F42*AO42</f>
        <v>0</v>
      </c>
      <c r="BI42" s="21">
        <f>F42*AP42</f>
        <v>0</v>
      </c>
      <c r="BJ42" s="21">
        <f>F42*G42</f>
        <v>0</v>
      </c>
      <c r="BK42" s="21" t="s">
        <v>59</v>
      </c>
      <c r="BL42" s="21">
        <v>12</v>
      </c>
    </row>
    <row r="43" spans="1:14" ht="15">
      <c r="A43" s="2"/>
      <c r="C43" s="24" t="s">
        <v>71</v>
      </c>
      <c r="D43" s="24" t="s">
        <v>449</v>
      </c>
      <c r="F43" s="25">
        <v>4</v>
      </c>
      <c r="M43" s="26"/>
      <c r="N43" s="2"/>
    </row>
    <row r="44" spans="1:14" ht="15">
      <c r="A44" s="2"/>
      <c r="B44" s="27" t="s">
        <v>61</v>
      </c>
      <c r="C44" s="634" t="s">
        <v>450</v>
      </c>
      <c r="D44" s="635"/>
      <c r="E44" s="635"/>
      <c r="F44" s="635"/>
      <c r="G44" s="635"/>
      <c r="H44" s="635"/>
      <c r="I44" s="635"/>
      <c r="J44" s="635"/>
      <c r="K44" s="635"/>
      <c r="L44" s="635"/>
      <c r="M44" s="636"/>
      <c r="N44" s="2"/>
    </row>
    <row r="45" spans="1:47" ht="15">
      <c r="A45" s="41"/>
      <c r="B45" s="42" t="s">
        <v>92</v>
      </c>
      <c r="C45" s="637" t="s">
        <v>93</v>
      </c>
      <c r="D45" s="638"/>
      <c r="E45" s="43" t="s">
        <v>4</v>
      </c>
      <c r="F45" s="43" t="s">
        <v>4</v>
      </c>
      <c r="G45" s="43" t="s">
        <v>4</v>
      </c>
      <c r="H45" s="44">
        <f>SUM(H46:H46)</f>
        <v>0</v>
      </c>
      <c r="I45" s="44">
        <f>SUM(I46:I46)</f>
        <v>0</v>
      </c>
      <c r="J45" s="44">
        <f>SUM(J46:J46)</f>
        <v>0</v>
      </c>
      <c r="K45" s="45"/>
      <c r="L45" s="44">
        <f>SUM(L46:L46)</f>
        <v>0</v>
      </c>
      <c r="M45" s="46"/>
      <c r="N45" s="2"/>
      <c r="AI45" s="10"/>
      <c r="AS45" s="19">
        <f>SUM(AJ46:AJ46)</f>
        <v>0</v>
      </c>
      <c r="AT45" s="19">
        <f>SUM(AK46:AK46)</f>
        <v>0</v>
      </c>
      <c r="AU45" s="19">
        <f>SUM(AL46:AL46)</f>
        <v>0</v>
      </c>
    </row>
    <row r="46" spans="1:64" ht="15">
      <c r="A46" s="20" t="s">
        <v>75</v>
      </c>
      <c r="B46" s="3" t="s">
        <v>95</v>
      </c>
      <c r="C46" s="618" t="s">
        <v>96</v>
      </c>
      <c r="D46" s="608"/>
      <c r="E46" s="3" t="s">
        <v>81</v>
      </c>
      <c r="F46" s="21">
        <v>1003.4</v>
      </c>
      <c r="G46" s="537"/>
      <c r="H46" s="21">
        <f>F46*AO46</f>
        <v>0</v>
      </c>
      <c r="I46" s="21">
        <f>F46*AP46</f>
        <v>0</v>
      </c>
      <c r="J46" s="21">
        <f>F46*G46</f>
        <v>0</v>
      </c>
      <c r="K46" s="21">
        <v>0</v>
      </c>
      <c r="L46" s="21">
        <f>F46*K46</f>
        <v>0</v>
      </c>
      <c r="M46" s="22" t="s">
        <v>55</v>
      </c>
      <c r="N46" s="2"/>
      <c r="Z46" s="21">
        <f>IF(AQ46="5",BJ46,0)</f>
        <v>0</v>
      </c>
      <c r="AB46" s="21">
        <f>IF(AQ46="1",BH46,0)</f>
        <v>0</v>
      </c>
      <c r="AC46" s="21">
        <f>IF(AQ46="1",BI46,0)</f>
        <v>0</v>
      </c>
      <c r="AD46" s="21">
        <f>IF(AQ46="7",BH46,0)</f>
        <v>0</v>
      </c>
      <c r="AE46" s="21">
        <f>IF(AQ46="7",BI46,0)</f>
        <v>0</v>
      </c>
      <c r="AF46" s="21">
        <f>IF(AQ46="2",BH46,0)</f>
        <v>0</v>
      </c>
      <c r="AG46" s="21">
        <f>IF(AQ46="2",BI46,0)</f>
        <v>0</v>
      </c>
      <c r="AH46" s="21">
        <f>IF(AQ46="0",BJ46,0)</f>
        <v>0</v>
      </c>
      <c r="AI46" s="10"/>
      <c r="AJ46" s="21">
        <f>IF(AN46=0,J46,0)</f>
        <v>0</v>
      </c>
      <c r="AK46" s="21">
        <f>IF(AN46=15,J46,0)</f>
        <v>0</v>
      </c>
      <c r="AL46" s="21">
        <f>IF(AN46=21,J46,0)</f>
        <v>0</v>
      </c>
      <c r="AN46" s="21">
        <v>21</v>
      </c>
      <c r="AO46" s="21">
        <f>G46*0</f>
        <v>0</v>
      </c>
      <c r="AP46" s="21">
        <f>G46*(1-0)</f>
        <v>0</v>
      </c>
      <c r="AQ46" s="23" t="s">
        <v>51</v>
      </c>
      <c r="AV46" s="21">
        <f>AW46+AX46</f>
        <v>0</v>
      </c>
      <c r="AW46" s="21">
        <f>F46*AO46</f>
        <v>0</v>
      </c>
      <c r="AX46" s="21">
        <f>F46*AP46</f>
        <v>0</v>
      </c>
      <c r="AY46" s="23" t="s">
        <v>97</v>
      </c>
      <c r="AZ46" s="23" t="s">
        <v>57</v>
      </c>
      <c r="BA46" s="10" t="s">
        <v>58</v>
      </c>
      <c r="BC46" s="21">
        <f>AW46+AX46</f>
        <v>0</v>
      </c>
      <c r="BD46" s="21">
        <f>G46/(100-BE46)*100</f>
        <v>0</v>
      </c>
      <c r="BE46" s="21">
        <v>0</v>
      </c>
      <c r="BF46" s="21">
        <f>L46</f>
        <v>0</v>
      </c>
      <c r="BH46" s="21">
        <f>F46*AO46</f>
        <v>0</v>
      </c>
      <c r="BI46" s="21">
        <f>F46*AP46</f>
        <v>0</v>
      </c>
      <c r="BJ46" s="21">
        <f>F46*G46</f>
        <v>0</v>
      </c>
      <c r="BK46" s="21" t="s">
        <v>59</v>
      </c>
      <c r="BL46" s="21">
        <v>16</v>
      </c>
    </row>
    <row r="47" spans="1:14" ht="15">
      <c r="A47" s="2"/>
      <c r="C47" s="24" t="s">
        <v>451</v>
      </c>
      <c r="D47" s="24"/>
      <c r="F47" s="25">
        <v>1003.4</v>
      </c>
      <c r="M47" s="26"/>
      <c r="N47" s="2"/>
    </row>
    <row r="48" spans="1:47" ht="15">
      <c r="A48" s="41"/>
      <c r="B48" s="42" t="s">
        <v>102</v>
      </c>
      <c r="C48" s="637" t="s">
        <v>103</v>
      </c>
      <c r="D48" s="638"/>
      <c r="E48" s="43" t="s">
        <v>4</v>
      </c>
      <c r="F48" s="43" t="s">
        <v>4</v>
      </c>
      <c r="G48" s="43" t="s">
        <v>4</v>
      </c>
      <c r="H48" s="44">
        <f>SUM(H49:H52)</f>
        <v>0</v>
      </c>
      <c r="I48" s="44">
        <f>SUM(I49:I52)</f>
        <v>0</v>
      </c>
      <c r="J48" s="44">
        <f>SUM(J49:J52)</f>
        <v>0</v>
      </c>
      <c r="K48" s="45"/>
      <c r="L48" s="44">
        <f>SUM(L49:L52)</f>
        <v>0</v>
      </c>
      <c r="M48" s="46"/>
      <c r="N48" s="2"/>
      <c r="AI48" s="10"/>
      <c r="AS48" s="19">
        <f>SUM(AJ49:AJ52)</f>
        <v>0</v>
      </c>
      <c r="AT48" s="19">
        <f>SUM(AK49:AK52)</f>
        <v>0</v>
      </c>
      <c r="AU48" s="19">
        <f>SUM(AL49:AL52)</f>
        <v>0</v>
      </c>
    </row>
    <row r="49" spans="1:64" ht="15">
      <c r="A49" s="20" t="s">
        <v>128</v>
      </c>
      <c r="B49" s="3" t="s">
        <v>105</v>
      </c>
      <c r="C49" s="618" t="s">
        <v>106</v>
      </c>
      <c r="D49" s="608"/>
      <c r="E49" s="3" t="s">
        <v>81</v>
      </c>
      <c r="F49" s="21">
        <v>646</v>
      </c>
      <c r="G49" s="537"/>
      <c r="H49" s="21">
        <f>F49*AO49</f>
        <v>0</v>
      </c>
      <c r="I49" s="21">
        <f>F49*AP49</f>
        <v>0</v>
      </c>
      <c r="J49" s="21">
        <f>F49*G49</f>
        <v>0</v>
      </c>
      <c r="K49" s="21">
        <v>0</v>
      </c>
      <c r="L49" s="21">
        <f>F49*K49</f>
        <v>0</v>
      </c>
      <c r="M49" s="22" t="s">
        <v>55</v>
      </c>
      <c r="N49" s="2"/>
      <c r="Z49" s="21">
        <f>IF(AQ49="5",BJ49,0)</f>
        <v>0</v>
      </c>
      <c r="AB49" s="21">
        <f>IF(AQ49="1",BH49,0)</f>
        <v>0</v>
      </c>
      <c r="AC49" s="21">
        <f>IF(AQ49="1",BI49,0)</f>
        <v>0</v>
      </c>
      <c r="AD49" s="21">
        <f>IF(AQ49="7",BH49,0)</f>
        <v>0</v>
      </c>
      <c r="AE49" s="21">
        <f>IF(AQ49="7",BI49,0)</f>
        <v>0</v>
      </c>
      <c r="AF49" s="21">
        <f>IF(AQ49="2",BH49,0)</f>
        <v>0</v>
      </c>
      <c r="AG49" s="21">
        <f>IF(AQ49="2",BI49,0)</f>
        <v>0</v>
      </c>
      <c r="AH49" s="21">
        <f>IF(AQ49="0",BJ49,0)</f>
        <v>0</v>
      </c>
      <c r="AI49" s="10"/>
      <c r="AJ49" s="21">
        <f>IF(AN49=0,J49,0)</f>
        <v>0</v>
      </c>
      <c r="AK49" s="21">
        <f>IF(AN49=15,J49,0)</f>
        <v>0</v>
      </c>
      <c r="AL49" s="21">
        <f>IF(AN49=21,J49,0)</f>
        <v>0</v>
      </c>
      <c r="AN49" s="21">
        <v>21</v>
      </c>
      <c r="AO49" s="21">
        <f>G49*0</f>
        <v>0</v>
      </c>
      <c r="AP49" s="21">
        <f>G49*(1-0)</f>
        <v>0</v>
      </c>
      <c r="AQ49" s="23" t="s">
        <v>51</v>
      </c>
      <c r="AV49" s="21">
        <f>AW49+AX49</f>
        <v>0</v>
      </c>
      <c r="AW49" s="21">
        <f>F49*AO49</f>
        <v>0</v>
      </c>
      <c r="AX49" s="21">
        <f>F49*AP49</f>
        <v>0</v>
      </c>
      <c r="AY49" s="23" t="s">
        <v>107</v>
      </c>
      <c r="AZ49" s="23" t="s">
        <v>57</v>
      </c>
      <c r="BA49" s="10" t="s">
        <v>58</v>
      </c>
      <c r="BC49" s="21">
        <f>AW49+AX49</f>
        <v>0</v>
      </c>
      <c r="BD49" s="21">
        <f>G49/(100-BE49)*100</f>
        <v>0</v>
      </c>
      <c r="BE49" s="21">
        <v>0</v>
      </c>
      <c r="BF49" s="21">
        <f>L49</f>
        <v>0</v>
      </c>
      <c r="BH49" s="21">
        <f>F49*AO49</f>
        <v>0</v>
      </c>
      <c r="BI49" s="21">
        <f>F49*AP49</f>
        <v>0</v>
      </c>
      <c r="BJ49" s="21">
        <f>F49*G49</f>
        <v>0</v>
      </c>
      <c r="BK49" s="21" t="s">
        <v>59</v>
      </c>
      <c r="BL49" s="21">
        <v>17</v>
      </c>
    </row>
    <row r="50" spans="1:14" ht="15">
      <c r="A50" s="2"/>
      <c r="C50" s="24" t="s">
        <v>452</v>
      </c>
      <c r="D50" s="24"/>
      <c r="F50" s="25">
        <v>646</v>
      </c>
      <c r="M50" s="26"/>
      <c r="N50" s="2"/>
    </row>
    <row r="51" spans="1:14" ht="15">
      <c r="A51" s="2"/>
      <c r="B51" s="27" t="s">
        <v>61</v>
      </c>
      <c r="C51" s="634" t="s">
        <v>109</v>
      </c>
      <c r="D51" s="635"/>
      <c r="E51" s="635"/>
      <c r="F51" s="635"/>
      <c r="G51" s="635"/>
      <c r="H51" s="635"/>
      <c r="I51" s="635"/>
      <c r="J51" s="635"/>
      <c r="K51" s="635"/>
      <c r="L51" s="635"/>
      <c r="M51" s="636"/>
      <c r="N51" s="2"/>
    </row>
    <row r="52" spans="1:64" ht="15">
      <c r="A52" s="20" t="s">
        <v>66</v>
      </c>
      <c r="B52" s="3" t="s">
        <v>110</v>
      </c>
      <c r="C52" s="618" t="s">
        <v>111</v>
      </c>
      <c r="D52" s="608"/>
      <c r="E52" s="3" t="s">
        <v>81</v>
      </c>
      <c r="F52" s="21">
        <v>168</v>
      </c>
      <c r="G52" s="537"/>
      <c r="H52" s="21">
        <f>F52*AO52</f>
        <v>0</v>
      </c>
      <c r="I52" s="21">
        <f>F52*AP52</f>
        <v>0</v>
      </c>
      <c r="J52" s="21">
        <f>F52*G52</f>
        <v>0</v>
      </c>
      <c r="K52" s="21">
        <v>0</v>
      </c>
      <c r="L52" s="21">
        <f>F52*K52</f>
        <v>0</v>
      </c>
      <c r="M52" s="22" t="s">
        <v>55</v>
      </c>
      <c r="N52" s="2"/>
      <c r="Z52" s="21">
        <f>IF(AQ52="5",BJ52,0)</f>
        <v>0</v>
      </c>
      <c r="AB52" s="21">
        <f>IF(AQ52="1",BH52,0)</f>
        <v>0</v>
      </c>
      <c r="AC52" s="21">
        <f>IF(AQ52="1",BI52,0)</f>
        <v>0</v>
      </c>
      <c r="AD52" s="21">
        <f>IF(AQ52="7",BH52,0)</f>
        <v>0</v>
      </c>
      <c r="AE52" s="21">
        <f>IF(AQ52="7",BI52,0)</f>
        <v>0</v>
      </c>
      <c r="AF52" s="21">
        <f>IF(AQ52="2",BH52,0)</f>
        <v>0</v>
      </c>
      <c r="AG52" s="21">
        <f>IF(AQ52="2",BI52,0)</f>
        <v>0</v>
      </c>
      <c r="AH52" s="21">
        <f>IF(AQ52="0",BJ52,0)</f>
        <v>0</v>
      </c>
      <c r="AI52" s="10"/>
      <c r="AJ52" s="21">
        <f>IF(AN52=0,J52,0)</f>
        <v>0</v>
      </c>
      <c r="AK52" s="21">
        <f>IF(AN52=15,J52,0)</f>
        <v>0</v>
      </c>
      <c r="AL52" s="21">
        <f>IF(AN52=21,J52,0)</f>
        <v>0</v>
      </c>
      <c r="AN52" s="21">
        <v>21</v>
      </c>
      <c r="AO52" s="21">
        <f>G52*0</f>
        <v>0</v>
      </c>
      <c r="AP52" s="21">
        <f>G52*(1-0)</f>
        <v>0</v>
      </c>
      <c r="AQ52" s="23" t="s">
        <v>51</v>
      </c>
      <c r="AV52" s="21">
        <f>AW52+AX52</f>
        <v>0</v>
      </c>
      <c r="AW52" s="21">
        <f>F52*AO52</f>
        <v>0</v>
      </c>
      <c r="AX52" s="21">
        <f>F52*AP52</f>
        <v>0</v>
      </c>
      <c r="AY52" s="23" t="s">
        <v>107</v>
      </c>
      <c r="AZ52" s="23" t="s">
        <v>57</v>
      </c>
      <c r="BA52" s="10" t="s">
        <v>58</v>
      </c>
      <c r="BC52" s="21">
        <f>AW52+AX52</f>
        <v>0</v>
      </c>
      <c r="BD52" s="21">
        <f>G52/(100-BE52)*100</f>
        <v>0</v>
      </c>
      <c r="BE52" s="21">
        <v>0</v>
      </c>
      <c r="BF52" s="21">
        <f>L52</f>
        <v>0</v>
      </c>
      <c r="BH52" s="21">
        <f>F52*AO52</f>
        <v>0</v>
      </c>
      <c r="BI52" s="21">
        <f>F52*AP52</f>
        <v>0</v>
      </c>
      <c r="BJ52" s="21">
        <f>F52*G52</f>
        <v>0</v>
      </c>
      <c r="BK52" s="21" t="s">
        <v>59</v>
      </c>
      <c r="BL52" s="21">
        <v>17</v>
      </c>
    </row>
    <row r="53" spans="1:14" ht="15">
      <c r="A53" s="2"/>
      <c r="C53" s="24" t="s">
        <v>453</v>
      </c>
      <c r="D53" s="24"/>
      <c r="F53" s="25">
        <v>168</v>
      </c>
      <c r="M53" s="26"/>
      <c r="N53" s="2"/>
    </row>
    <row r="54" spans="1:14" ht="15">
      <c r="A54" s="2"/>
      <c r="B54" s="27" t="s">
        <v>61</v>
      </c>
      <c r="C54" s="634" t="s">
        <v>113</v>
      </c>
      <c r="D54" s="635"/>
      <c r="E54" s="635"/>
      <c r="F54" s="635"/>
      <c r="G54" s="635"/>
      <c r="H54" s="635"/>
      <c r="I54" s="635"/>
      <c r="J54" s="635"/>
      <c r="K54" s="635"/>
      <c r="L54" s="635"/>
      <c r="M54" s="636"/>
      <c r="N54" s="2"/>
    </row>
    <row r="55" spans="1:47" ht="15">
      <c r="A55" s="41"/>
      <c r="B55" s="42" t="s">
        <v>114</v>
      </c>
      <c r="C55" s="637" t="s">
        <v>115</v>
      </c>
      <c r="D55" s="638"/>
      <c r="E55" s="43" t="s">
        <v>4</v>
      </c>
      <c r="F55" s="43" t="s">
        <v>4</v>
      </c>
      <c r="G55" s="43" t="s">
        <v>4</v>
      </c>
      <c r="H55" s="44">
        <f>SUM(H56:H56)</f>
        <v>0</v>
      </c>
      <c r="I55" s="44">
        <f>SUM(I56:I56)</f>
        <v>0</v>
      </c>
      <c r="J55" s="44">
        <f>SUM(J56:J56)</f>
        <v>0</v>
      </c>
      <c r="K55" s="45"/>
      <c r="L55" s="44">
        <f>SUM(L56:L56)</f>
        <v>0</v>
      </c>
      <c r="M55" s="46"/>
      <c r="N55" s="2"/>
      <c r="AI55" s="10"/>
      <c r="AS55" s="19">
        <f>SUM(AJ56:AJ56)</f>
        <v>0</v>
      </c>
      <c r="AT55" s="19">
        <f>SUM(AK56:AK56)</f>
        <v>0</v>
      </c>
      <c r="AU55" s="19">
        <f>SUM(AL56:AL56)</f>
        <v>0</v>
      </c>
    </row>
    <row r="56" spans="1:64" ht="15">
      <c r="A56" s="20" t="s">
        <v>92</v>
      </c>
      <c r="B56" s="3" t="s">
        <v>116</v>
      </c>
      <c r="C56" s="618" t="s">
        <v>117</v>
      </c>
      <c r="D56" s="608"/>
      <c r="E56" s="3" t="s">
        <v>54</v>
      </c>
      <c r="F56" s="21">
        <v>2651.5</v>
      </c>
      <c r="G56" s="537"/>
      <c r="H56" s="21">
        <f>F56*AO56</f>
        <v>0</v>
      </c>
      <c r="I56" s="21">
        <f>F56*AP56</f>
        <v>0</v>
      </c>
      <c r="J56" s="21">
        <f>F56*G56</f>
        <v>0</v>
      </c>
      <c r="K56" s="21">
        <v>0</v>
      </c>
      <c r="L56" s="21">
        <f>F56*K56</f>
        <v>0</v>
      </c>
      <c r="M56" s="22" t="s">
        <v>55</v>
      </c>
      <c r="N56" s="2"/>
      <c r="Z56" s="21">
        <f>IF(AQ56="5",BJ56,0)</f>
        <v>0</v>
      </c>
      <c r="AB56" s="21">
        <f>IF(AQ56="1",BH56,0)</f>
        <v>0</v>
      </c>
      <c r="AC56" s="21">
        <f>IF(AQ56="1",BI56,0)</f>
        <v>0</v>
      </c>
      <c r="AD56" s="21">
        <f>IF(AQ56="7",BH56,0)</f>
        <v>0</v>
      </c>
      <c r="AE56" s="21">
        <f>IF(AQ56="7",BI56,0)</f>
        <v>0</v>
      </c>
      <c r="AF56" s="21">
        <f>IF(AQ56="2",BH56,0)</f>
        <v>0</v>
      </c>
      <c r="AG56" s="21">
        <f>IF(AQ56="2",BI56,0)</f>
        <v>0</v>
      </c>
      <c r="AH56" s="21">
        <f>IF(AQ56="0",BJ56,0)</f>
        <v>0</v>
      </c>
      <c r="AI56" s="10"/>
      <c r="AJ56" s="21">
        <f>IF(AN56=0,J56,0)</f>
        <v>0</v>
      </c>
      <c r="AK56" s="21">
        <f>IF(AN56=15,J56,0)</f>
        <v>0</v>
      </c>
      <c r="AL56" s="21">
        <f>IF(AN56=21,J56,0)</f>
        <v>0</v>
      </c>
      <c r="AN56" s="21">
        <v>21</v>
      </c>
      <c r="AO56" s="21">
        <f>G56*0</f>
        <v>0</v>
      </c>
      <c r="AP56" s="21">
        <f>G56*(1-0)</f>
        <v>0</v>
      </c>
      <c r="AQ56" s="23" t="s">
        <v>51</v>
      </c>
      <c r="AV56" s="21">
        <f>AW56+AX56</f>
        <v>0</v>
      </c>
      <c r="AW56" s="21">
        <f>F56*AO56</f>
        <v>0</v>
      </c>
      <c r="AX56" s="21">
        <f>F56*AP56</f>
        <v>0</v>
      </c>
      <c r="AY56" s="23" t="s">
        <v>118</v>
      </c>
      <c r="AZ56" s="23" t="s">
        <v>57</v>
      </c>
      <c r="BA56" s="10" t="s">
        <v>58</v>
      </c>
      <c r="BC56" s="21">
        <f>AW56+AX56</f>
        <v>0</v>
      </c>
      <c r="BD56" s="21">
        <f>G56/(100-BE56)*100</f>
        <v>0</v>
      </c>
      <c r="BE56" s="21">
        <v>0</v>
      </c>
      <c r="BF56" s="21">
        <f>L56</f>
        <v>0</v>
      </c>
      <c r="BH56" s="21">
        <f>F56*AO56</f>
        <v>0</v>
      </c>
      <c r="BI56" s="21">
        <f>F56*AP56</f>
        <v>0</v>
      </c>
      <c r="BJ56" s="21">
        <f>F56*G56</f>
        <v>0</v>
      </c>
      <c r="BK56" s="21" t="s">
        <v>59</v>
      </c>
      <c r="BL56" s="21">
        <v>18</v>
      </c>
    </row>
    <row r="57" spans="1:14" ht="15">
      <c r="A57" s="2"/>
      <c r="C57" s="24" t="s">
        <v>454</v>
      </c>
      <c r="D57" s="24"/>
      <c r="F57" s="25">
        <v>2651.5</v>
      </c>
      <c r="M57" s="26"/>
      <c r="N57" s="2"/>
    </row>
    <row r="58" spans="1:14" ht="15">
      <c r="A58" s="2"/>
      <c r="B58" s="27" t="s">
        <v>61</v>
      </c>
      <c r="C58" s="634" t="s">
        <v>120</v>
      </c>
      <c r="D58" s="635"/>
      <c r="E58" s="635"/>
      <c r="F58" s="635"/>
      <c r="G58" s="635"/>
      <c r="H58" s="635"/>
      <c r="I58" s="635"/>
      <c r="J58" s="635"/>
      <c r="K58" s="635"/>
      <c r="L58" s="635"/>
      <c r="M58" s="636"/>
      <c r="N58" s="2"/>
    </row>
    <row r="59" spans="1:47" ht="15">
      <c r="A59" s="41"/>
      <c r="B59" s="42" t="s">
        <v>121</v>
      </c>
      <c r="C59" s="637" t="s">
        <v>122</v>
      </c>
      <c r="D59" s="638"/>
      <c r="E59" s="43" t="s">
        <v>4</v>
      </c>
      <c r="F59" s="43" t="s">
        <v>4</v>
      </c>
      <c r="G59" s="43" t="s">
        <v>4</v>
      </c>
      <c r="H59" s="44">
        <f>SUM(H60:H60)</f>
        <v>0</v>
      </c>
      <c r="I59" s="44">
        <f>SUM(I60:I60)</f>
        <v>0</v>
      </c>
      <c r="J59" s="44">
        <f>SUM(J60:J60)</f>
        <v>0</v>
      </c>
      <c r="K59" s="45"/>
      <c r="L59" s="44">
        <f>SUM(L60:L60)</f>
        <v>0</v>
      </c>
      <c r="M59" s="46"/>
      <c r="N59" s="2"/>
      <c r="AI59" s="10"/>
      <c r="AS59" s="19">
        <f>SUM(AJ60:AJ60)</f>
        <v>0</v>
      </c>
      <c r="AT59" s="19">
        <f>SUM(AK60:AK60)</f>
        <v>0</v>
      </c>
      <c r="AU59" s="19">
        <f>SUM(AL60:AL60)</f>
        <v>0</v>
      </c>
    </row>
    <row r="60" spans="1:64" ht="15">
      <c r="A60" s="20" t="s">
        <v>102</v>
      </c>
      <c r="B60" s="3" t="s">
        <v>129</v>
      </c>
      <c r="C60" s="618" t="s">
        <v>130</v>
      </c>
      <c r="D60" s="608"/>
      <c r="E60" s="3" t="s">
        <v>125</v>
      </c>
      <c r="F60" s="21">
        <v>1605.44</v>
      </c>
      <c r="G60" s="537"/>
      <c r="H60" s="21">
        <f>F60*AO60</f>
        <v>0</v>
      </c>
      <c r="I60" s="21">
        <f>F60*AP60</f>
        <v>0</v>
      </c>
      <c r="J60" s="21">
        <f>F60*G60</f>
        <v>0</v>
      </c>
      <c r="K60" s="21">
        <v>0</v>
      </c>
      <c r="L60" s="21">
        <f>F60*K60</f>
        <v>0</v>
      </c>
      <c r="M60" s="22" t="s">
        <v>55</v>
      </c>
      <c r="N60" s="2"/>
      <c r="Z60" s="21">
        <f>IF(AQ60="5",BJ60,0)</f>
        <v>0</v>
      </c>
      <c r="AB60" s="21">
        <f>IF(AQ60="1",BH60,0)</f>
        <v>0</v>
      </c>
      <c r="AC60" s="21">
        <f>IF(AQ60="1",BI60,0)</f>
        <v>0</v>
      </c>
      <c r="AD60" s="21">
        <f>IF(AQ60="7",BH60,0)</f>
        <v>0</v>
      </c>
      <c r="AE60" s="21">
        <f>IF(AQ60="7",BI60,0)</f>
        <v>0</v>
      </c>
      <c r="AF60" s="21">
        <f>IF(AQ60="2",BH60,0)</f>
        <v>0</v>
      </c>
      <c r="AG60" s="21">
        <f>IF(AQ60="2",BI60,0)</f>
        <v>0</v>
      </c>
      <c r="AH60" s="21">
        <f>IF(AQ60="0",BJ60,0)</f>
        <v>0</v>
      </c>
      <c r="AI60" s="10"/>
      <c r="AJ60" s="21">
        <f>IF(AN60=0,J60,0)</f>
        <v>0</v>
      </c>
      <c r="AK60" s="21">
        <f>IF(AN60=15,J60,0)</f>
        <v>0</v>
      </c>
      <c r="AL60" s="21">
        <f>IF(AN60=21,J60,0)</f>
        <v>0</v>
      </c>
      <c r="AN60" s="21">
        <v>21</v>
      </c>
      <c r="AO60" s="21">
        <f>G60*0</f>
        <v>0</v>
      </c>
      <c r="AP60" s="21">
        <f>G60*(1-0)</f>
        <v>0</v>
      </c>
      <c r="AQ60" s="23" t="s">
        <v>51</v>
      </c>
      <c r="AV60" s="21">
        <f>AW60+AX60</f>
        <v>0</v>
      </c>
      <c r="AW60" s="21">
        <f>F60*AO60</f>
        <v>0</v>
      </c>
      <c r="AX60" s="21">
        <f>F60*AP60</f>
        <v>0</v>
      </c>
      <c r="AY60" s="23" t="s">
        <v>126</v>
      </c>
      <c r="AZ60" s="23" t="s">
        <v>57</v>
      </c>
      <c r="BA60" s="10" t="s">
        <v>58</v>
      </c>
      <c r="BC60" s="21">
        <f>AW60+AX60</f>
        <v>0</v>
      </c>
      <c r="BD60" s="21">
        <f>G60/(100-BE60)*100</f>
        <v>0</v>
      </c>
      <c r="BE60" s="21">
        <v>0</v>
      </c>
      <c r="BF60" s="21">
        <f>L60</f>
        <v>0</v>
      </c>
      <c r="BH60" s="21">
        <f>F60*AO60</f>
        <v>0</v>
      </c>
      <c r="BI60" s="21">
        <f>F60*AP60</f>
        <v>0</v>
      </c>
      <c r="BJ60" s="21">
        <f>F60*G60</f>
        <v>0</v>
      </c>
      <c r="BK60" s="21" t="s">
        <v>59</v>
      </c>
      <c r="BL60" s="21">
        <v>19</v>
      </c>
    </row>
    <row r="61" spans="1:14" ht="15">
      <c r="A61" s="2"/>
      <c r="C61" s="24" t="s">
        <v>455</v>
      </c>
      <c r="D61" s="24"/>
      <c r="F61" s="25">
        <v>1605.44</v>
      </c>
      <c r="M61" s="26"/>
      <c r="N61" s="2"/>
    </row>
    <row r="62" spans="1:47" ht="15">
      <c r="A62" s="41"/>
      <c r="B62" s="42" t="s">
        <v>161</v>
      </c>
      <c r="C62" s="637" t="s">
        <v>456</v>
      </c>
      <c r="D62" s="638"/>
      <c r="E62" s="43" t="s">
        <v>4</v>
      </c>
      <c r="F62" s="43" t="s">
        <v>4</v>
      </c>
      <c r="G62" s="43" t="s">
        <v>4</v>
      </c>
      <c r="H62" s="44">
        <f>SUM(H63:H67)</f>
        <v>0</v>
      </c>
      <c r="I62" s="44">
        <f>SUM(I63:I67)</f>
        <v>0</v>
      </c>
      <c r="J62" s="44">
        <f>SUM(J63:J67)</f>
        <v>0</v>
      </c>
      <c r="K62" s="45"/>
      <c r="L62" s="44">
        <f>SUM(L63:L67)</f>
        <v>5.8483464000000005</v>
      </c>
      <c r="M62" s="46"/>
      <c r="N62" s="2"/>
      <c r="AI62" s="10"/>
      <c r="AS62" s="19">
        <f>SUM(AJ63:AJ67)</f>
        <v>0</v>
      </c>
      <c r="AT62" s="19">
        <f>SUM(AK63:AK67)</f>
        <v>0</v>
      </c>
      <c r="AU62" s="19">
        <f>SUM(AL63:AL67)</f>
        <v>0</v>
      </c>
    </row>
    <row r="63" spans="1:64" ht="15">
      <c r="A63" s="20" t="s">
        <v>114</v>
      </c>
      <c r="B63" s="3" t="s">
        <v>457</v>
      </c>
      <c r="C63" s="618" t="s">
        <v>458</v>
      </c>
      <c r="D63" s="608"/>
      <c r="E63" s="3" t="s">
        <v>74</v>
      </c>
      <c r="F63" s="21">
        <v>43</v>
      </c>
      <c r="G63" s="537"/>
      <c r="H63" s="21">
        <f>F63*AO63</f>
        <v>0</v>
      </c>
      <c r="I63" s="21">
        <f>F63*AP63</f>
        <v>0</v>
      </c>
      <c r="J63" s="21">
        <f>F63*G63</f>
        <v>0</v>
      </c>
      <c r="K63" s="21">
        <v>0</v>
      </c>
      <c r="L63" s="21">
        <f>F63*K63</f>
        <v>0</v>
      </c>
      <c r="M63" s="22" t="s">
        <v>55</v>
      </c>
      <c r="N63" s="2"/>
      <c r="Z63" s="21">
        <f>IF(AQ63="5",BJ63,0)</f>
        <v>0</v>
      </c>
      <c r="AB63" s="21">
        <f>IF(AQ63="1",BH63,0)</f>
        <v>0</v>
      </c>
      <c r="AC63" s="21">
        <f>IF(AQ63="1",BI63,0)</f>
        <v>0</v>
      </c>
      <c r="AD63" s="21">
        <f>IF(AQ63="7",BH63,0)</f>
        <v>0</v>
      </c>
      <c r="AE63" s="21">
        <f>IF(AQ63="7",BI63,0)</f>
        <v>0</v>
      </c>
      <c r="AF63" s="21">
        <f>IF(AQ63="2",BH63,0)</f>
        <v>0</v>
      </c>
      <c r="AG63" s="21">
        <f>IF(AQ63="2",BI63,0)</f>
        <v>0</v>
      </c>
      <c r="AH63" s="21">
        <f>IF(AQ63="0",BJ63,0)</f>
        <v>0</v>
      </c>
      <c r="AI63" s="10"/>
      <c r="AJ63" s="21">
        <f>IF(AN63=0,J63,0)</f>
        <v>0</v>
      </c>
      <c r="AK63" s="21">
        <f>IF(AN63=15,J63,0)</f>
        <v>0</v>
      </c>
      <c r="AL63" s="21">
        <f>IF(AN63=21,J63,0)</f>
        <v>0</v>
      </c>
      <c r="AN63" s="21">
        <v>21</v>
      </c>
      <c r="AO63" s="21">
        <f>G63*0</f>
        <v>0</v>
      </c>
      <c r="AP63" s="21">
        <f>G63*(1-0)</f>
        <v>0</v>
      </c>
      <c r="AQ63" s="23" t="s">
        <v>51</v>
      </c>
      <c r="AV63" s="21">
        <f>AW63+AX63</f>
        <v>0</v>
      </c>
      <c r="AW63" s="21">
        <f>F63*AO63</f>
        <v>0</v>
      </c>
      <c r="AX63" s="21">
        <f>F63*AP63</f>
        <v>0</v>
      </c>
      <c r="AY63" s="23" t="s">
        <v>459</v>
      </c>
      <c r="AZ63" s="23" t="s">
        <v>460</v>
      </c>
      <c r="BA63" s="10" t="s">
        <v>58</v>
      </c>
      <c r="BC63" s="21">
        <f>AW63+AX63</f>
        <v>0</v>
      </c>
      <c r="BD63" s="21">
        <f>G63/(100-BE63)*100</f>
        <v>0</v>
      </c>
      <c r="BE63" s="21">
        <v>0</v>
      </c>
      <c r="BF63" s="21">
        <f>L63</f>
        <v>0</v>
      </c>
      <c r="BH63" s="21">
        <f>F63*AO63</f>
        <v>0</v>
      </c>
      <c r="BI63" s="21">
        <f>F63*AP63</f>
        <v>0</v>
      </c>
      <c r="BJ63" s="21">
        <f>F63*G63</f>
        <v>0</v>
      </c>
      <c r="BK63" s="21" t="s">
        <v>59</v>
      </c>
      <c r="BL63" s="21">
        <v>21</v>
      </c>
    </row>
    <row r="64" spans="1:14" ht="15">
      <c r="A64" s="2"/>
      <c r="C64" s="24" t="s">
        <v>266</v>
      </c>
      <c r="D64" s="24"/>
      <c r="F64" s="25">
        <v>43</v>
      </c>
      <c r="M64" s="26"/>
      <c r="N64" s="2"/>
    </row>
    <row r="65" spans="1:64" ht="15">
      <c r="A65" s="20" t="s">
        <v>121</v>
      </c>
      <c r="B65" s="3" t="s">
        <v>461</v>
      </c>
      <c r="C65" s="618" t="s">
        <v>462</v>
      </c>
      <c r="D65" s="608"/>
      <c r="E65" s="3" t="s">
        <v>81</v>
      </c>
      <c r="F65" s="21">
        <v>3.5</v>
      </c>
      <c r="G65" s="537"/>
      <c r="H65" s="21">
        <f>F65*AO65</f>
        <v>0</v>
      </c>
      <c r="I65" s="21">
        <f>F65*AP65</f>
        <v>0</v>
      </c>
      <c r="J65" s="21">
        <f>F65*G65</f>
        <v>0</v>
      </c>
      <c r="K65" s="21">
        <v>1.665</v>
      </c>
      <c r="L65" s="21">
        <f>F65*K65</f>
        <v>5.827500000000001</v>
      </c>
      <c r="M65" s="22" t="s">
        <v>55</v>
      </c>
      <c r="N65" s="2"/>
      <c r="Z65" s="21">
        <f>IF(AQ65="5",BJ65,0)</f>
        <v>0</v>
      </c>
      <c r="AB65" s="21">
        <f>IF(AQ65="1",BH65,0)</f>
        <v>0</v>
      </c>
      <c r="AC65" s="21">
        <f>IF(AQ65="1",BI65,0)</f>
        <v>0</v>
      </c>
      <c r="AD65" s="21">
        <f>IF(AQ65="7",BH65,0)</f>
        <v>0</v>
      </c>
      <c r="AE65" s="21">
        <f>IF(AQ65="7",BI65,0)</f>
        <v>0</v>
      </c>
      <c r="AF65" s="21">
        <f>IF(AQ65="2",BH65,0)</f>
        <v>0</v>
      </c>
      <c r="AG65" s="21">
        <f>IF(AQ65="2",BI65,0)</f>
        <v>0</v>
      </c>
      <c r="AH65" s="21">
        <f>IF(AQ65="0",BJ65,0)</f>
        <v>0</v>
      </c>
      <c r="AI65" s="10"/>
      <c r="AJ65" s="21">
        <f>IF(AN65=0,J65,0)</f>
        <v>0</v>
      </c>
      <c r="AK65" s="21">
        <f>IF(AN65=15,J65,0)</f>
        <v>0</v>
      </c>
      <c r="AL65" s="21">
        <f>IF(AN65=21,J65,0)</f>
        <v>0</v>
      </c>
      <c r="AN65" s="21">
        <v>21</v>
      </c>
      <c r="AO65" s="21">
        <f>G65*0.697921304222107</f>
        <v>0</v>
      </c>
      <c r="AP65" s="21">
        <f>G65*(1-0.697921304222107)</f>
        <v>0</v>
      </c>
      <c r="AQ65" s="23" t="s">
        <v>51</v>
      </c>
      <c r="AV65" s="21">
        <f>AW65+AX65</f>
        <v>0</v>
      </c>
      <c r="AW65" s="21">
        <f>F65*AO65</f>
        <v>0</v>
      </c>
      <c r="AX65" s="21">
        <f>F65*AP65</f>
        <v>0</v>
      </c>
      <c r="AY65" s="23" t="s">
        <v>459</v>
      </c>
      <c r="AZ65" s="23" t="s">
        <v>460</v>
      </c>
      <c r="BA65" s="10" t="s">
        <v>58</v>
      </c>
      <c r="BC65" s="21">
        <f>AW65+AX65</f>
        <v>0</v>
      </c>
      <c r="BD65" s="21">
        <f>G65/(100-BE65)*100</f>
        <v>0</v>
      </c>
      <c r="BE65" s="21">
        <v>0</v>
      </c>
      <c r="BF65" s="21">
        <f>L65</f>
        <v>5.827500000000001</v>
      </c>
      <c r="BH65" s="21">
        <f>F65*AO65</f>
        <v>0</v>
      </c>
      <c r="BI65" s="21">
        <f>F65*AP65</f>
        <v>0</v>
      </c>
      <c r="BJ65" s="21">
        <f>F65*G65</f>
        <v>0</v>
      </c>
      <c r="BK65" s="21" t="s">
        <v>59</v>
      </c>
      <c r="BL65" s="21">
        <v>21</v>
      </c>
    </row>
    <row r="66" spans="1:14" ht="15">
      <c r="A66" s="2"/>
      <c r="C66" s="24" t="s">
        <v>463</v>
      </c>
      <c r="D66" s="24"/>
      <c r="F66" s="25">
        <v>3.5</v>
      </c>
      <c r="M66" s="26"/>
      <c r="N66" s="2"/>
    </row>
    <row r="67" spans="1:64" ht="15">
      <c r="A67" s="20" t="s">
        <v>157</v>
      </c>
      <c r="B67" s="3" t="s">
        <v>464</v>
      </c>
      <c r="C67" s="618" t="s">
        <v>465</v>
      </c>
      <c r="D67" s="608"/>
      <c r="E67" s="3" t="s">
        <v>74</v>
      </c>
      <c r="F67" s="21">
        <v>43.43</v>
      </c>
      <c r="G67" s="537"/>
      <c r="H67" s="21">
        <f>F67*AO67</f>
        <v>0</v>
      </c>
      <c r="I67" s="21">
        <f>F67*AP67</f>
        <v>0</v>
      </c>
      <c r="J67" s="21">
        <f>F67*G67</f>
        <v>0</v>
      </c>
      <c r="K67" s="21">
        <v>0.00048</v>
      </c>
      <c r="L67" s="21">
        <f>F67*K67</f>
        <v>0.0208464</v>
      </c>
      <c r="M67" s="22" t="s">
        <v>55</v>
      </c>
      <c r="N67" s="2"/>
      <c r="Z67" s="21">
        <f>IF(AQ67="5",BJ67,0)</f>
        <v>0</v>
      </c>
      <c r="AB67" s="21">
        <f>IF(AQ67="1",BH67,0)</f>
        <v>0</v>
      </c>
      <c r="AC67" s="21">
        <f>IF(AQ67="1",BI67,0)</f>
        <v>0</v>
      </c>
      <c r="AD67" s="21">
        <f>IF(AQ67="7",BH67,0)</f>
        <v>0</v>
      </c>
      <c r="AE67" s="21">
        <f>IF(AQ67="7",BI67,0)</f>
        <v>0</v>
      </c>
      <c r="AF67" s="21">
        <f>IF(AQ67="2",BH67,0)</f>
        <v>0</v>
      </c>
      <c r="AG67" s="21">
        <f>IF(AQ67="2",BI67,0)</f>
        <v>0</v>
      </c>
      <c r="AH67" s="21">
        <f>IF(AQ67="0",BJ67,0)</f>
        <v>0</v>
      </c>
      <c r="AI67" s="10"/>
      <c r="AJ67" s="21">
        <f>IF(AN67=0,J67,0)</f>
        <v>0</v>
      </c>
      <c r="AK67" s="21">
        <f>IF(AN67=15,J67,0)</f>
        <v>0</v>
      </c>
      <c r="AL67" s="21">
        <f>IF(AN67=21,J67,0)</f>
        <v>0</v>
      </c>
      <c r="AN67" s="21">
        <v>21</v>
      </c>
      <c r="AO67" s="21">
        <f>G67*1</f>
        <v>0</v>
      </c>
      <c r="AP67" s="21">
        <f>G67*(1-1)</f>
        <v>0</v>
      </c>
      <c r="AQ67" s="23" t="s">
        <v>51</v>
      </c>
      <c r="AV67" s="21">
        <f>AW67+AX67</f>
        <v>0</v>
      </c>
      <c r="AW67" s="21">
        <f>F67*AO67</f>
        <v>0</v>
      </c>
      <c r="AX67" s="21">
        <f>F67*AP67</f>
        <v>0</v>
      </c>
      <c r="AY67" s="23" t="s">
        <v>459</v>
      </c>
      <c r="AZ67" s="23" t="s">
        <v>460</v>
      </c>
      <c r="BA67" s="10" t="s">
        <v>58</v>
      </c>
      <c r="BC67" s="21">
        <f>AW67+AX67</f>
        <v>0</v>
      </c>
      <c r="BD67" s="21">
        <f>G67/(100-BE67)*100</f>
        <v>0</v>
      </c>
      <c r="BE67" s="21">
        <v>0</v>
      </c>
      <c r="BF67" s="21">
        <f>L67</f>
        <v>0.0208464</v>
      </c>
      <c r="BH67" s="21">
        <f>F67*AO67</f>
        <v>0</v>
      </c>
      <c r="BI67" s="21">
        <f>F67*AP67</f>
        <v>0</v>
      </c>
      <c r="BJ67" s="21">
        <f>F67*G67</f>
        <v>0</v>
      </c>
      <c r="BK67" s="21" t="s">
        <v>201</v>
      </c>
      <c r="BL67" s="21">
        <v>21</v>
      </c>
    </row>
    <row r="68" spans="1:14" ht="15">
      <c r="A68" s="2"/>
      <c r="C68" s="24" t="s">
        <v>266</v>
      </c>
      <c r="D68" s="24"/>
      <c r="F68" s="25">
        <v>43</v>
      </c>
      <c r="M68" s="26"/>
      <c r="N68" s="2"/>
    </row>
    <row r="69" spans="1:14" ht="15">
      <c r="A69" s="2"/>
      <c r="C69" s="24" t="s">
        <v>466</v>
      </c>
      <c r="D69" s="24"/>
      <c r="F69" s="25">
        <v>0.43</v>
      </c>
      <c r="M69" s="26"/>
      <c r="N69" s="2"/>
    </row>
    <row r="70" spans="1:14" ht="15">
      <c r="A70" s="2"/>
      <c r="B70" s="27" t="s">
        <v>61</v>
      </c>
      <c r="C70" s="634" t="s">
        <v>467</v>
      </c>
      <c r="D70" s="635"/>
      <c r="E70" s="635"/>
      <c r="F70" s="635"/>
      <c r="G70" s="635"/>
      <c r="H70" s="635"/>
      <c r="I70" s="635"/>
      <c r="J70" s="635"/>
      <c r="K70" s="635"/>
      <c r="L70" s="635"/>
      <c r="M70" s="636"/>
      <c r="N70" s="2"/>
    </row>
    <row r="71" spans="1:47" ht="15">
      <c r="A71" s="41"/>
      <c r="B71" s="42" t="s">
        <v>132</v>
      </c>
      <c r="C71" s="637" t="s">
        <v>133</v>
      </c>
      <c r="D71" s="638"/>
      <c r="E71" s="43" t="s">
        <v>4</v>
      </c>
      <c r="F71" s="43" t="s">
        <v>4</v>
      </c>
      <c r="G71" s="43" t="s">
        <v>4</v>
      </c>
      <c r="H71" s="44">
        <f>SUM(H72:H98)</f>
        <v>0</v>
      </c>
      <c r="I71" s="44">
        <f>SUM(I72:I98)</f>
        <v>0</v>
      </c>
      <c r="J71" s="44">
        <f>SUM(J72:J98)</f>
        <v>0</v>
      </c>
      <c r="K71" s="45"/>
      <c r="L71" s="44">
        <f>SUM(L72:L98)</f>
        <v>1957.4081899999996</v>
      </c>
      <c r="M71" s="46"/>
      <c r="N71" s="2"/>
      <c r="AI71" s="10"/>
      <c r="AS71" s="19">
        <f>SUM(AJ72:AJ98)</f>
        <v>0</v>
      </c>
      <c r="AT71" s="19">
        <f>SUM(AK72:AK98)</f>
        <v>0</v>
      </c>
      <c r="AU71" s="19">
        <f>SUM(AL72:AL98)</f>
        <v>0</v>
      </c>
    </row>
    <row r="72" spans="1:64" ht="15">
      <c r="A72" s="20" t="s">
        <v>161</v>
      </c>
      <c r="B72" s="3" t="s">
        <v>134</v>
      </c>
      <c r="C72" s="618" t="s">
        <v>135</v>
      </c>
      <c r="D72" s="608"/>
      <c r="E72" s="3" t="s">
        <v>54</v>
      </c>
      <c r="F72" s="21">
        <v>2178.5</v>
      </c>
      <c r="G72" s="537"/>
      <c r="H72" s="21">
        <f>F72*AO72</f>
        <v>0</v>
      </c>
      <c r="I72" s="21">
        <f>F72*AP72</f>
        <v>0</v>
      </c>
      <c r="J72" s="21">
        <f>F72*G72</f>
        <v>0</v>
      </c>
      <c r="K72" s="21">
        <v>0.02058</v>
      </c>
      <c r="L72" s="21">
        <f>F72*K72</f>
        <v>44.83353</v>
      </c>
      <c r="M72" s="539" t="s">
        <v>2130</v>
      </c>
      <c r="N72" s="2"/>
      <c r="Z72" s="21">
        <f>IF(AQ72="5",BJ72,0)</f>
        <v>0</v>
      </c>
      <c r="AB72" s="21">
        <f>IF(AQ72="1",BH72,0)</f>
        <v>0</v>
      </c>
      <c r="AC72" s="21">
        <f>IF(AQ72="1",BI72,0)</f>
        <v>0</v>
      </c>
      <c r="AD72" s="21">
        <f>IF(AQ72="7",BH72,0)</f>
        <v>0</v>
      </c>
      <c r="AE72" s="21">
        <f>IF(AQ72="7",BI72,0)</f>
        <v>0</v>
      </c>
      <c r="AF72" s="21">
        <f>IF(AQ72="2",BH72,0)</f>
        <v>0</v>
      </c>
      <c r="AG72" s="21">
        <f>IF(AQ72="2",BI72,0)</f>
        <v>0</v>
      </c>
      <c r="AH72" s="21">
        <f>IF(AQ72="0",BJ72,0)</f>
        <v>0</v>
      </c>
      <c r="AI72" s="10"/>
      <c r="AJ72" s="21">
        <f>IF(AN72=0,J72,0)</f>
        <v>0</v>
      </c>
      <c r="AK72" s="21">
        <f>IF(AN72=15,J72,0)</f>
        <v>0</v>
      </c>
      <c r="AL72" s="21">
        <f>IF(AN72=21,J72,0)</f>
        <v>0</v>
      </c>
      <c r="AN72" s="21">
        <v>21</v>
      </c>
      <c r="AO72" s="21">
        <f>G72*0.5408</f>
        <v>0</v>
      </c>
      <c r="AP72" s="21">
        <f>G72*(1-0.5408)</f>
        <v>0</v>
      </c>
      <c r="AQ72" s="23" t="s">
        <v>51</v>
      </c>
      <c r="AV72" s="21">
        <f>AW72+AX72</f>
        <v>0</v>
      </c>
      <c r="AW72" s="21">
        <f>F72*AO72</f>
        <v>0</v>
      </c>
      <c r="AX72" s="21">
        <f>F72*AP72</f>
        <v>0</v>
      </c>
      <c r="AY72" s="23" t="s">
        <v>136</v>
      </c>
      <c r="AZ72" s="23" t="s">
        <v>137</v>
      </c>
      <c r="BA72" s="10" t="s">
        <v>58</v>
      </c>
      <c r="BC72" s="21">
        <f>AW72+AX72</f>
        <v>0</v>
      </c>
      <c r="BD72" s="21">
        <f>G72/(100-BE72)*100</f>
        <v>0</v>
      </c>
      <c r="BE72" s="21">
        <v>0</v>
      </c>
      <c r="BF72" s="21">
        <f>L72</f>
        <v>44.83353</v>
      </c>
      <c r="BH72" s="21">
        <f>F72*AO72</f>
        <v>0</v>
      </c>
      <c r="BI72" s="21">
        <f>F72*AP72</f>
        <v>0</v>
      </c>
      <c r="BJ72" s="21">
        <f>F72*G72</f>
        <v>0</v>
      </c>
      <c r="BK72" s="21" t="s">
        <v>59</v>
      </c>
      <c r="BL72" s="21">
        <v>56</v>
      </c>
    </row>
    <row r="73" spans="1:14" ht="15">
      <c r="A73" s="2"/>
      <c r="B73" s="27" t="s">
        <v>138</v>
      </c>
      <c r="C73" s="639" t="s">
        <v>139</v>
      </c>
      <c r="D73" s="640"/>
      <c r="E73" s="640"/>
      <c r="F73" s="640"/>
      <c r="G73" s="640"/>
      <c r="H73" s="640"/>
      <c r="I73" s="640"/>
      <c r="J73" s="640"/>
      <c r="K73" s="640"/>
      <c r="L73" s="640"/>
      <c r="M73" s="641"/>
      <c r="N73" s="2"/>
    </row>
    <row r="74" spans="1:14" ht="15">
      <c r="A74" s="2"/>
      <c r="C74" s="24" t="s">
        <v>468</v>
      </c>
      <c r="D74" s="24"/>
      <c r="F74" s="25">
        <v>2178.5</v>
      </c>
      <c r="M74" s="26"/>
      <c r="N74" s="2"/>
    </row>
    <row r="75" spans="1:64" ht="15">
      <c r="A75" s="20" t="s">
        <v>165</v>
      </c>
      <c r="B75" s="3" t="s">
        <v>141</v>
      </c>
      <c r="C75" s="618" t="s">
        <v>142</v>
      </c>
      <c r="D75" s="608"/>
      <c r="E75" s="3" t="s">
        <v>54</v>
      </c>
      <c r="F75" s="21">
        <v>430</v>
      </c>
      <c r="G75" s="537"/>
      <c r="H75" s="21">
        <f>F75*AO75</f>
        <v>0</v>
      </c>
      <c r="I75" s="21">
        <f>F75*AP75</f>
        <v>0</v>
      </c>
      <c r="J75" s="21">
        <f>F75*G75</f>
        <v>0</v>
      </c>
      <c r="K75" s="21">
        <v>0.506</v>
      </c>
      <c r="L75" s="21">
        <f>F75*K75</f>
        <v>217.58</v>
      </c>
      <c r="M75" s="22" t="s">
        <v>55</v>
      </c>
      <c r="N75" s="2"/>
      <c r="Z75" s="21">
        <f>IF(AQ75="5",BJ75,0)</f>
        <v>0</v>
      </c>
      <c r="AB75" s="21">
        <f>IF(AQ75="1",BH75,0)</f>
        <v>0</v>
      </c>
      <c r="AC75" s="21">
        <f>IF(AQ75="1",BI75,0)</f>
        <v>0</v>
      </c>
      <c r="AD75" s="21">
        <f>IF(AQ75="7",BH75,0)</f>
        <v>0</v>
      </c>
      <c r="AE75" s="21">
        <f>IF(AQ75="7",BI75,0)</f>
        <v>0</v>
      </c>
      <c r="AF75" s="21">
        <f>IF(AQ75="2",BH75,0)</f>
        <v>0</v>
      </c>
      <c r="AG75" s="21">
        <f>IF(AQ75="2",BI75,0)</f>
        <v>0</v>
      </c>
      <c r="AH75" s="21">
        <f>IF(AQ75="0",BJ75,0)</f>
        <v>0</v>
      </c>
      <c r="AI75" s="10"/>
      <c r="AJ75" s="21">
        <f>IF(AN75=0,J75,0)</f>
        <v>0</v>
      </c>
      <c r="AK75" s="21">
        <f>IF(AN75=15,J75,0)</f>
        <v>0</v>
      </c>
      <c r="AL75" s="21">
        <f>IF(AN75=21,J75,0)</f>
        <v>0</v>
      </c>
      <c r="AN75" s="21">
        <v>21</v>
      </c>
      <c r="AO75" s="21">
        <f>G75*0.860765957446809</f>
        <v>0</v>
      </c>
      <c r="AP75" s="21">
        <f>G75*(1-0.860765957446809)</f>
        <v>0</v>
      </c>
      <c r="AQ75" s="23" t="s">
        <v>51</v>
      </c>
      <c r="AV75" s="21">
        <f>AW75+AX75</f>
        <v>0</v>
      </c>
      <c r="AW75" s="21">
        <f>F75*AO75</f>
        <v>0</v>
      </c>
      <c r="AX75" s="21">
        <f>F75*AP75</f>
        <v>0</v>
      </c>
      <c r="AY75" s="23" t="s">
        <v>136</v>
      </c>
      <c r="AZ75" s="23" t="s">
        <v>137</v>
      </c>
      <c r="BA75" s="10" t="s">
        <v>58</v>
      </c>
      <c r="BC75" s="21">
        <f>AW75+AX75</f>
        <v>0</v>
      </c>
      <c r="BD75" s="21">
        <f>G75/(100-BE75)*100</f>
        <v>0</v>
      </c>
      <c r="BE75" s="21">
        <v>0</v>
      </c>
      <c r="BF75" s="21">
        <f>L75</f>
        <v>217.58</v>
      </c>
      <c r="BH75" s="21">
        <f>F75*AO75</f>
        <v>0</v>
      </c>
      <c r="BI75" s="21">
        <f>F75*AP75</f>
        <v>0</v>
      </c>
      <c r="BJ75" s="21">
        <f>F75*G75</f>
        <v>0</v>
      </c>
      <c r="BK75" s="21" t="s">
        <v>59</v>
      </c>
      <c r="BL75" s="21">
        <v>56</v>
      </c>
    </row>
    <row r="76" spans="1:14" ht="15">
      <c r="A76" s="2"/>
      <c r="B76" s="27" t="s">
        <v>138</v>
      </c>
      <c r="C76" s="639" t="s">
        <v>143</v>
      </c>
      <c r="D76" s="640"/>
      <c r="E76" s="640"/>
      <c r="F76" s="640"/>
      <c r="G76" s="640"/>
      <c r="H76" s="640"/>
      <c r="I76" s="640"/>
      <c r="J76" s="640"/>
      <c r="K76" s="640"/>
      <c r="L76" s="640"/>
      <c r="M76" s="641"/>
      <c r="N76" s="2"/>
    </row>
    <row r="77" spans="1:14" ht="15">
      <c r="A77" s="2"/>
      <c r="C77" s="24" t="s">
        <v>469</v>
      </c>
      <c r="D77" s="24" t="s">
        <v>145</v>
      </c>
      <c r="F77" s="25">
        <v>430</v>
      </c>
      <c r="M77" s="26"/>
      <c r="N77" s="2"/>
    </row>
    <row r="78" spans="1:64" ht="15">
      <c r="A78" s="20" t="s">
        <v>70</v>
      </c>
      <c r="B78" s="3" t="s">
        <v>146</v>
      </c>
      <c r="C78" s="618" t="s">
        <v>147</v>
      </c>
      <c r="D78" s="608"/>
      <c r="E78" s="3" t="s">
        <v>54</v>
      </c>
      <c r="F78" s="21">
        <v>1700</v>
      </c>
      <c r="G78" s="537"/>
      <c r="H78" s="21">
        <f>F78*AO78</f>
        <v>0</v>
      </c>
      <c r="I78" s="21">
        <f>F78*AP78</f>
        <v>0</v>
      </c>
      <c r="J78" s="21">
        <f>F78*G78</f>
        <v>0</v>
      </c>
      <c r="K78" s="21">
        <v>0.529</v>
      </c>
      <c r="L78" s="21">
        <f>F78*K78</f>
        <v>899.3000000000001</v>
      </c>
      <c r="M78" s="22" t="s">
        <v>55</v>
      </c>
      <c r="N78" s="2"/>
      <c r="Z78" s="21">
        <f>IF(AQ78="5",BJ78,0)</f>
        <v>0</v>
      </c>
      <c r="AB78" s="21">
        <f>IF(AQ78="1",BH78,0)</f>
        <v>0</v>
      </c>
      <c r="AC78" s="21">
        <f>IF(AQ78="1",BI78,0)</f>
        <v>0</v>
      </c>
      <c r="AD78" s="21">
        <f>IF(AQ78="7",BH78,0)</f>
        <v>0</v>
      </c>
      <c r="AE78" s="21">
        <f>IF(AQ78="7",BI78,0)</f>
        <v>0</v>
      </c>
      <c r="AF78" s="21">
        <f>IF(AQ78="2",BH78,0)</f>
        <v>0</v>
      </c>
      <c r="AG78" s="21">
        <f>IF(AQ78="2",BI78,0)</f>
        <v>0</v>
      </c>
      <c r="AH78" s="21">
        <f>IF(AQ78="0",BJ78,0)</f>
        <v>0</v>
      </c>
      <c r="AI78" s="10"/>
      <c r="AJ78" s="21">
        <f>IF(AN78=0,J78,0)</f>
        <v>0</v>
      </c>
      <c r="AK78" s="21">
        <f>IF(AN78=15,J78,0)</f>
        <v>0</v>
      </c>
      <c r="AL78" s="21">
        <f>IF(AN78=21,J78,0)</f>
        <v>0</v>
      </c>
      <c r="AN78" s="21">
        <v>21</v>
      </c>
      <c r="AO78" s="21">
        <f>G78*0.861955193482688</f>
        <v>0</v>
      </c>
      <c r="AP78" s="21">
        <f>G78*(1-0.861955193482688)</f>
        <v>0</v>
      </c>
      <c r="AQ78" s="23" t="s">
        <v>51</v>
      </c>
      <c r="AV78" s="21">
        <f>AW78+AX78</f>
        <v>0</v>
      </c>
      <c r="AW78" s="21">
        <f>F78*AO78</f>
        <v>0</v>
      </c>
      <c r="AX78" s="21">
        <f>F78*AP78</f>
        <v>0</v>
      </c>
      <c r="AY78" s="23" t="s">
        <v>136</v>
      </c>
      <c r="AZ78" s="23" t="s">
        <v>137</v>
      </c>
      <c r="BA78" s="10" t="s">
        <v>58</v>
      </c>
      <c r="BC78" s="21">
        <f>AW78+AX78</f>
        <v>0</v>
      </c>
      <c r="BD78" s="21">
        <f>G78/(100-BE78)*100</f>
        <v>0</v>
      </c>
      <c r="BE78" s="21">
        <v>0</v>
      </c>
      <c r="BF78" s="21">
        <f>L78</f>
        <v>899.3000000000001</v>
      </c>
      <c r="BH78" s="21">
        <f>F78*AO78</f>
        <v>0</v>
      </c>
      <c r="BI78" s="21">
        <f>F78*AP78</f>
        <v>0</v>
      </c>
      <c r="BJ78" s="21">
        <f>F78*G78</f>
        <v>0</v>
      </c>
      <c r="BK78" s="21" t="s">
        <v>59</v>
      </c>
      <c r="BL78" s="21">
        <v>56</v>
      </c>
    </row>
    <row r="79" spans="1:14" ht="15">
      <c r="A79" s="2"/>
      <c r="B79" s="27" t="s">
        <v>138</v>
      </c>
      <c r="C79" s="639" t="s">
        <v>143</v>
      </c>
      <c r="D79" s="640"/>
      <c r="E79" s="640"/>
      <c r="F79" s="640"/>
      <c r="G79" s="640"/>
      <c r="H79" s="640"/>
      <c r="I79" s="640"/>
      <c r="J79" s="640"/>
      <c r="K79" s="640"/>
      <c r="L79" s="640"/>
      <c r="M79" s="641"/>
      <c r="N79" s="2"/>
    </row>
    <row r="80" spans="1:14" ht="15">
      <c r="A80" s="2"/>
      <c r="C80" s="24" t="s">
        <v>470</v>
      </c>
      <c r="D80" s="24" t="s">
        <v>149</v>
      </c>
      <c r="F80" s="25">
        <v>1700</v>
      </c>
      <c r="M80" s="26"/>
      <c r="N80" s="2"/>
    </row>
    <row r="81" spans="1:64" ht="15">
      <c r="A81" s="20" t="s">
        <v>172</v>
      </c>
      <c r="B81" s="3" t="s">
        <v>150</v>
      </c>
      <c r="C81" s="618" t="s">
        <v>151</v>
      </c>
      <c r="D81" s="608"/>
      <c r="E81" s="3" t="s">
        <v>54</v>
      </c>
      <c r="F81" s="21">
        <v>62.5</v>
      </c>
      <c r="G81" s="537"/>
      <c r="H81" s="21">
        <f>F81*AO81</f>
        <v>0</v>
      </c>
      <c r="I81" s="21">
        <f>F81*AP81</f>
        <v>0</v>
      </c>
      <c r="J81" s="21">
        <f>F81*G81</f>
        <v>0</v>
      </c>
      <c r="K81" s="21">
        <v>0.345</v>
      </c>
      <c r="L81" s="21">
        <f>F81*K81</f>
        <v>21.5625</v>
      </c>
      <c r="M81" s="22" t="s">
        <v>55</v>
      </c>
      <c r="N81" s="2"/>
      <c r="Z81" s="21">
        <f>IF(AQ81="5",BJ81,0)</f>
        <v>0</v>
      </c>
      <c r="AB81" s="21">
        <f>IF(AQ81="1",BH81,0)</f>
        <v>0</v>
      </c>
      <c r="AC81" s="21">
        <f>IF(AQ81="1",BI81,0)</f>
        <v>0</v>
      </c>
      <c r="AD81" s="21">
        <f>IF(AQ81="7",BH81,0)</f>
        <v>0</v>
      </c>
      <c r="AE81" s="21">
        <f>IF(AQ81="7",BI81,0)</f>
        <v>0</v>
      </c>
      <c r="AF81" s="21">
        <f>IF(AQ81="2",BH81,0)</f>
        <v>0</v>
      </c>
      <c r="AG81" s="21">
        <f>IF(AQ81="2",BI81,0)</f>
        <v>0</v>
      </c>
      <c r="AH81" s="21">
        <f>IF(AQ81="0",BJ81,0)</f>
        <v>0</v>
      </c>
      <c r="AI81" s="10"/>
      <c r="AJ81" s="21">
        <f>IF(AN81=0,J81,0)</f>
        <v>0</v>
      </c>
      <c r="AK81" s="21">
        <f>IF(AN81=15,J81,0)</f>
        <v>0</v>
      </c>
      <c r="AL81" s="21">
        <f>IF(AN81=21,J81,0)</f>
        <v>0</v>
      </c>
      <c r="AN81" s="21">
        <v>21</v>
      </c>
      <c r="AO81" s="21">
        <f>G81*0.835878787878788</f>
        <v>0</v>
      </c>
      <c r="AP81" s="21">
        <f>G81*(1-0.835878787878788)</f>
        <v>0</v>
      </c>
      <c r="AQ81" s="23" t="s">
        <v>51</v>
      </c>
      <c r="AV81" s="21">
        <f>AW81+AX81</f>
        <v>0</v>
      </c>
      <c r="AW81" s="21">
        <f>F81*AO81</f>
        <v>0</v>
      </c>
      <c r="AX81" s="21">
        <f>F81*AP81</f>
        <v>0</v>
      </c>
      <c r="AY81" s="23" t="s">
        <v>136</v>
      </c>
      <c r="AZ81" s="23" t="s">
        <v>137</v>
      </c>
      <c r="BA81" s="10" t="s">
        <v>58</v>
      </c>
      <c r="BC81" s="21">
        <f>AW81+AX81</f>
        <v>0</v>
      </c>
      <c r="BD81" s="21">
        <f>G81/(100-BE81)*100</f>
        <v>0</v>
      </c>
      <c r="BE81" s="21">
        <v>0</v>
      </c>
      <c r="BF81" s="21">
        <f>L81</f>
        <v>21.5625</v>
      </c>
      <c r="BH81" s="21">
        <f>F81*AO81</f>
        <v>0</v>
      </c>
      <c r="BI81" s="21">
        <f>F81*AP81</f>
        <v>0</v>
      </c>
      <c r="BJ81" s="21">
        <f>F81*G81</f>
        <v>0</v>
      </c>
      <c r="BK81" s="21" t="s">
        <v>59</v>
      </c>
      <c r="BL81" s="21">
        <v>56</v>
      </c>
    </row>
    <row r="82" spans="1:14" ht="15">
      <c r="A82" s="2"/>
      <c r="B82" s="27" t="s">
        <v>138</v>
      </c>
      <c r="C82" s="639" t="s">
        <v>143</v>
      </c>
      <c r="D82" s="640"/>
      <c r="E82" s="640"/>
      <c r="F82" s="640"/>
      <c r="G82" s="640"/>
      <c r="H82" s="640"/>
      <c r="I82" s="640"/>
      <c r="J82" s="640"/>
      <c r="K82" s="640"/>
      <c r="L82" s="640"/>
      <c r="M82" s="641"/>
      <c r="N82" s="2"/>
    </row>
    <row r="83" spans="1:14" ht="15">
      <c r="A83" s="2"/>
      <c r="C83" s="24" t="s">
        <v>471</v>
      </c>
      <c r="D83" s="24"/>
      <c r="F83" s="25">
        <v>62.5</v>
      </c>
      <c r="M83" s="26"/>
      <c r="N83" s="2"/>
    </row>
    <row r="84" spans="1:64" ht="15">
      <c r="A84" s="20" t="s">
        <v>177</v>
      </c>
      <c r="B84" s="3" t="s">
        <v>158</v>
      </c>
      <c r="C84" s="618" t="s">
        <v>159</v>
      </c>
      <c r="D84" s="608"/>
      <c r="E84" s="3" t="s">
        <v>54</v>
      </c>
      <c r="F84" s="21">
        <v>473</v>
      </c>
      <c r="G84" s="537"/>
      <c r="H84" s="21">
        <f>F84*AO84</f>
        <v>0</v>
      </c>
      <c r="I84" s="21">
        <f>F84*AP84</f>
        <v>0</v>
      </c>
      <c r="J84" s="21">
        <f>F84*G84</f>
        <v>0</v>
      </c>
      <c r="K84" s="21">
        <v>0.575</v>
      </c>
      <c r="L84" s="21">
        <f>F84*K84</f>
        <v>271.97499999999997</v>
      </c>
      <c r="M84" s="22" t="s">
        <v>55</v>
      </c>
      <c r="N84" s="2"/>
      <c r="Z84" s="21">
        <f>IF(AQ84="5",BJ84,0)</f>
        <v>0</v>
      </c>
      <c r="AB84" s="21">
        <f>IF(AQ84="1",BH84,0)</f>
        <v>0</v>
      </c>
      <c r="AC84" s="21">
        <f>IF(AQ84="1",BI84,0)</f>
        <v>0</v>
      </c>
      <c r="AD84" s="21">
        <f>IF(AQ84="7",BH84,0)</f>
        <v>0</v>
      </c>
      <c r="AE84" s="21">
        <f>IF(AQ84="7",BI84,0)</f>
        <v>0</v>
      </c>
      <c r="AF84" s="21">
        <f>IF(AQ84="2",BH84,0)</f>
        <v>0</v>
      </c>
      <c r="AG84" s="21">
        <f>IF(AQ84="2",BI84,0)</f>
        <v>0</v>
      </c>
      <c r="AH84" s="21">
        <f>IF(AQ84="0",BJ84,0)</f>
        <v>0</v>
      </c>
      <c r="AI84" s="10"/>
      <c r="AJ84" s="21">
        <f>IF(AN84=0,J84,0)</f>
        <v>0</v>
      </c>
      <c r="AK84" s="21">
        <f>IF(AN84=15,J84,0)</f>
        <v>0</v>
      </c>
      <c r="AL84" s="21">
        <f>IF(AN84=21,J84,0)</f>
        <v>0</v>
      </c>
      <c r="AN84" s="21">
        <v>21</v>
      </c>
      <c r="AO84" s="21">
        <f>G84*0.874372623574144</f>
        <v>0</v>
      </c>
      <c r="AP84" s="21">
        <f>G84*(1-0.874372623574144)</f>
        <v>0</v>
      </c>
      <c r="AQ84" s="23" t="s">
        <v>51</v>
      </c>
      <c r="AV84" s="21">
        <f>AW84+AX84</f>
        <v>0</v>
      </c>
      <c r="AW84" s="21">
        <f>F84*AO84</f>
        <v>0</v>
      </c>
      <c r="AX84" s="21">
        <f>F84*AP84</f>
        <v>0</v>
      </c>
      <c r="AY84" s="23" t="s">
        <v>136</v>
      </c>
      <c r="AZ84" s="23" t="s">
        <v>137</v>
      </c>
      <c r="BA84" s="10" t="s">
        <v>58</v>
      </c>
      <c r="BC84" s="21">
        <f>AW84+AX84</f>
        <v>0</v>
      </c>
      <c r="BD84" s="21">
        <f>G84/(100-BE84)*100</f>
        <v>0</v>
      </c>
      <c r="BE84" s="21">
        <v>0</v>
      </c>
      <c r="BF84" s="21">
        <f>L84</f>
        <v>271.97499999999997</v>
      </c>
      <c r="BH84" s="21">
        <f>F84*AO84</f>
        <v>0</v>
      </c>
      <c r="BI84" s="21">
        <f>F84*AP84</f>
        <v>0</v>
      </c>
      <c r="BJ84" s="21">
        <f>F84*G84</f>
        <v>0</v>
      </c>
      <c r="BK84" s="21" t="s">
        <v>59</v>
      </c>
      <c r="BL84" s="21">
        <v>56</v>
      </c>
    </row>
    <row r="85" spans="1:14" ht="15">
      <c r="A85" s="2"/>
      <c r="B85" s="27" t="s">
        <v>138</v>
      </c>
      <c r="C85" s="639" t="s">
        <v>143</v>
      </c>
      <c r="D85" s="640"/>
      <c r="E85" s="640"/>
      <c r="F85" s="640"/>
      <c r="G85" s="640"/>
      <c r="H85" s="640"/>
      <c r="I85" s="640"/>
      <c r="J85" s="640"/>
      <c r="K85" s="640"/>
      <c r="L85" s="640"/>
      <c r="M85" s="641"/>
      <c r="N85" s="2"/>
    </row>
    <row r="86" spans="1:14" ht="15">
      <c r="A86" s="2"/>
      <c r="C86" s="24" t="s">
        <v>472</v>
      </c>
      <c r="D86" s="24"/>
      <c r="F86" s="25">
        <v>473</v>
      </c>
      <c r="M86" s="26"/>
      <c r="N86" s="2"/>
    </row>
    <row r="87" spans="1:64" ht="15">
      <c r="A87" s="20" t="s">
        <v>181</v>
      </c>
      <c r="B87" s="3" t="s">
        <v>473</v>
      </c>
      <c r="C87" s="618" t="s">
        <v>474</v>
      </c>
      <c r="D87" s="608"/>
      <c r="E87" s="3" t="s">
        <v>54</v>
      </c>
      <c r="F87" s="21">
        <v>23</v>
      </c>
      <c r="G87" s="537"/>
      <c r="H87" s="21">
        <f>F87*AO87</f>
        <v>0</v>
      </c>
      <c r="I87" s="21">
        <f>F87*AP87</f>
        <v>0</v>
      </c>
      <c r="J87" s="21">
        <f>F87*G87</f>
        <v>0</v>
      </c>
      <c r="K87" s="21">
        <v>0.414</v>
      </c>
      <c r="L87" s="21">
        <f>F87*K87</f>
        <v>9.522</v>
      </c>
      <c r="M87" s="22" t="s">
        <v>55</v>
      </c>
      <c r="N87" s="2"/>
      <c r="Z87" s="21">
        <f>IF(AQ87="5",BJ87,0)</f>
        <v>0</v>
      </c>
      <c r="AB87" s="21">
        <f>IF(AQ87="1",BH87,0)</f>
        <v>0</v>
      </c>
      <c r="AC87" s="21">
        <f>IF(AQ87="1",BI87,0)</f>
        <v>0</v>
      </c>
      <c r="AD87" s="21">
        <f>IF(AQ87="7",BH87,0)</f>
        <v>0</v>
      </c>
      <c r="AE87" s="21">
        <f>IF(AQ87="7",BI87,0)</f>
        <v>0</v>
      </c>
      <c r="AF87" s="21">
        <f>IF(AQ87="2",BH87,0)</f>
        <v>0</v>
      </c>
      <c r="AG87" s="21">
        <f>IF(AQ87="2",BI87,0)</f>
        <v>0</v>
      </c>
      <c r="AH87" s="21">
        <f>IF(AQ87="0",BJ87,0)</f>
        <v>0</v>
      </c>
      <c r="AI87" s="10"/>
      <c r="AJ87" s="21">
        <f>IF(AN87=0,J87,0)</f>
        <v>0</v>
      </c>
      <c r="AK87" s="21">
        <f>IF(AN87=15,J87,0)</f>
        <v>0</v>
      </c>
      <c r="AL87" s="21">
        <f>IF(AN87=21,J87,0)</f>
        <v>0</v>
      </c>
      <c r="AN87" s="21">
        <v>21</v>
      </c>
      <c r="AO87" s="21">
        <f>G87*0.852236503856041</f>
        <v>0</v>
      </c>
      <c r="AP87" s="21">
        <f>G87*(1-0.852236503856041)</f>
        <v>0</v>
      </c>
      <c r="AQ87" s="23" t="s">
        <v>51</v>
      </c>
      <c r="AV87" s="21">
        <f>AW87+AX87</f>
        <v>0</v>
      </c>
      <c r="AW87" s="21">
        <f>F87*AO87</f>
        <v>0</v>
      </c>
      <c r="AX87" s="21">
        <f>F87*AP87</f>
        <v>0</v>
      </c>
      <c r="AY87" s="23" t="s">
        <v>136</v>
      </c>
      <c r="AZ87" s="23" t="s">
        <v>137</v>
      </c>
      <c r="BA87" s="10" t="s">
        <v>58</v>
      </c>
      <c r="BC87" s="21">
        <f>AW87+AX87</f>
        <v>0</v>
      </c>
      <c r="BD87" s="21">
        <f>G87/(100-BE87)*100</f>
        <v>0</v>
      </c>
      <c r="BE87" s="21">
        <v>0</v>
      </c>
      <c r="BF87" s="21">
        <f>L87</f>
        <v>9.522</v>
      </c>
      <c r="BH87" s="21">
        <f>F87*AO87</f>
        <v>0</v>
      </c>
      <c r="BI87" s="21">
        <f>F87*AP87</f>
        <v>0</v>
      </c>
      <c r="BJ87" s="21">
        <f>F87*G87</f>
        <v>0</v>
      </c>
      <c r="BK87" s="21" t="s">
        <v>59</v>
      </c>
      <c r="BL87" s="21">
        <v>56</v>
      </c>
    </row>
    <row r="88" spans="1:14" ht="15">
      <c r="A88" s="2"/>
      <c r="B88" s="27" t="s">
        <v>138</v>
      </c>
      <c r="C88" s="639" t="s">
        <v>143</v>
      </c>
      <c r="D88" s="640"/>
      <c r="E88" s="640"/>
      <c r="F88" s="640"/>
      <c r="G88" s="640"/>
      <c r="H88" s="640"/>
      <c r="I88" s="640"/>
      <c r="J88" s="640"/>
      <c r="K88" s="640"/>
      <c r="L88" s="640"/>
      <c r="M88" s="641"/>
      <c r="N88" s="2"/>
    </row>
    <row r="89" spans="1:14" ht="15">
      <c r="A89" s="2"/>
      <c r="C89" s="24" t="s">
        <v>70</v>
      </c>
      <c r="D89" s="24"/>
      <c r="F89" s="25">
        <v>23</v>
      </c>
      <c r="M89" s="26"/>
      <c r="N89" s="2"/>
    </row>
    <row r="90" spans="1:64" ht="15">
      <c r="A90" s="20" t="s">
        <v>187</v>
      </c>
      <c r="B90" s="3" t="s">
        <v>166</v>
      </c>
      <c r="C90" s="618" t="s">
        <v>167</v>
      </c>
      <c r="D90" s="608"/>
      <c r="E90" s="3" t="s">
        <v>54</v>
      </c>
      <c r="F90" s="21">
        <v>60</v>
      </c>
      <c r="G90" s="537"/>
      <c r="H90" s="21">
        <f>F90*AO90</f>
        <v>0</v>
      </c>
      <c r="I90" s="21">
        <f>F90*AP90</f>
        <v>0</v>
      </c>
      <c r="J90" s="21">
        <f>F90*G90</f>
        <v>0</v>
      </c>
      <c r="K90" s="21">
        <v>0.56194</v>
      </c>
      <c r="L90" s="21">
        <f>F90*K90</f>
        <v>33.7164</v>
      </c>
      <c r="M90" s="22" t="s">
        <v>55</v>
      </c>
      <c r="N90" s="2"/>
      <c r="Z90" s="21">
        <f>IF(AQ90="5",BJ90,0)</f>
        <v>0</v>
      </c>
      <c r="AB90" s="21">
        <f>IF(AQ90="1",BH90,0)</f>
        <v>0</v>
      </c>
      <c r="AC90" s="21">
        <f>IF(AQ90="1",BI90,0)</f>
        <v>0</v>
      </c>
      <c r="AD90" s="21">
        <f>IF(AQ90="7",BH90,0)</f>
        <v>0</v>
      </c>
      <c r="AE90" s="21">
        <f>IF(AQ90="7",BI90,0)</f>
        <v>0</v>
      </c>
      <c r="AF90" s="21">
        <f>IF(AQ90="2",BH90,0)</f>
        <v>0</v>
      </c>
      <c r="AG90" s="21">
        <f>IF(AQ90="2",BI90,0)</f>
        <v>0</v>
      </c>
      <c r="AH90" s="21">
        <f>IF(AQ90="0",BJ90,0)</f>
        <v>0</v>
      </c>
      <c r="AI90" s="10"/>
      <c r="AJ90" s="21">
        <f>IF(AN90=0,J90,0)</f>
        <v>0</v>
      </c>
      <c r="AK90" s="21">
        <f>IF(AN90=15,J90,0)</f>
        <v>0</v>
      </c>
      <c r="AL90" s="21">
        <f>IF(AN90=21,J90,0)</f>
        <v>0</v>
      </c>
      <c r="AN90" s="21">
        <v>21</v>
      </c>
      <c r="AO90" s="21">
        <f>G90*0.920157145975119</f>
        <v>0</v>
      </c>
      <c r="AP90" s="21">
        <f>G90*(1-0.920157145975119)</f>
        <v>0</v>
      </c>
      <c r="AQ90" s="23" t="s">
        <v>51</v>
      </c>
      <c r="AV90" s="21">
        <f>AW90+AX90</f>
        <v>0</v>
      </c>
      <c r="AW90" s="21">
        <f>F90*AO90</f>
        <v>0</v>
      </c>
      <c r="AX90" s="21">
        <f>F90*AP90</f>
        <v>0</v>
      </c>
      <c r="AY90" s="23" t="s">
        <v>136</v>
      </c>
      <c r="AZ90" s="23" t="s">
        <v>137</v>
      </c>
      <c r="BA90" s="10" t="s">
        <v>58</v>
      </c>
      <c r="BC90" s="21">
        <f>AW90+AX90</f>
        <v>0</v>
      </c>
      <c r="BD90" s="21">
        <f>G90/(100-BE90)*100</f>
        <v>0</v>
      </c>
      <c r="BE90" s="21">
        <v>0</v>
      </c>
      <c r="BF90" s="21">
        <f>L90</f>
        <v>33.7164</v>
      </c>
      <c r="BH90" s="21">
        <f>F90*AO90</f>
        <v>0</v>
      </c>
      <c r="BI90" s="21">
        <f>F90*AP90</f>
        <v>0</v>
      </c>
      <c r="BJ90" s="21">
        <f>F90*G90</f>
        <v>0</v>
      </c>
      <c r="BK90" s="21" t="s">
        <v>59</v>
      </c>
      <c r="BL90" s="21">
        <v>56</v>
      </c>
    </row>
    <row r="91" spans="1:14" ht="15">
      <c r="A91" s="2"/>
      <c r="C91" s="24" t="s">
        <v>348</v>
      </c>
      <c r="D91" s="24" t="s">
        <v>168</v>
      </c>
      <c r="F91" s="25">
        <v>60</v>
      </c>
      <c r="M91" s="26"/>
      <c r="N91" s="2"/>
    </row>
    <row r="92" spans="1:64" ht="15">
      <c r="A92" s="20" t="s">
        <v>198</v>
      </c>
      <c r="B92" s="3" t="s">
        <v>169</v>
      </c>
      <c r="C92" s="618" t="s">
        <v>170</v>
      </c>
      <c r="D92" s="608"/>
      <c r="E92" s="3" t="s">
        <v>54</v>
      </c>
      <c r="F92" s="21">
        <v>409.5</v>
      </c>
      <c r="G92" s="537"/>
      <c r="H92" s="21">
        <f>F92*AO92</f>
        <v>0</v>
      </c>
      <c r="I92" s="21">
        <f>F92*AP92</f>
        <v>0</v>
      </c>
      <c r="J92" s="21">
        <f>F92*G92</f>
        <v>0</v>
      </c>
      <c r="K92" s="21">
        <v>0.38314</v>
      </c>
      <c r="L92" s="21">
        <f>F92*K92</f>
        <v>156.89583</v>
      </c>
      <c r="M92" s="22" t="s">
        <v>55</v>
      </c>
      <c r="N92" s="2"/>
      <c r="Z92" s="21">
        <f>IF(AQ92="5",BJ92,0)</f>
        <v>0</v>
      </c>
      <c r="AB92" s="21">
        <f>IF(AQ92="1",BH92,0)</f>
        <v>0</v>
      </c>
      <c r="AC92" s="21">
        <f>IF(AQ92="1",BI92,0)</f>
        <v>0</v>
      </c>
      <c r="AD92" s="21">
        <f>IF(AQ92="7",BH92,0)</f>
        <v>0</v>
      </c>
      <c r="AE92" s="21">
        <f>IF(AQ92="7",BI92,0)</f>
        <v>0</v>
      </c>
      <c r="AF92" s="21">
        <f>IF(AQ92="2",BH92,0)</f>
        <v>0</v>
      </c>
      <c r="AG92" s="21">
        <f>IF(AQ92="2",BI92,0)</f>
        <v>0</v>
      </c>
      <c r="AH92" s="21">
        <f>IF(AQ92="0",BJ92,0)</f>
        <v>0</v>
      </c>
      <c r="AI92" s="10"/>
      <c r="AJ92" s="21">
        <f>IF(AN92=0,J92,0)</f>
        <v>0</v>
      </c>
      <c r="AK92" s="21">
        <f>IF(AN92=15,J92,0)</f>
        <v>0</v>
      </c>
      <c r="AL92" s="21">
        <f>IF(AN92=21,J92,0)</f>
        <v>0</v>
      </c>
      <c r="AN92" s="21">
        <v>21</v>
      </c>
      <c r="AO92" s="21">
        <f>G92*0.898696883852691</f>
        <v>0</v>
      </c>
      <c r="AP92" s="21">
        <f>G92*(1-0.898696883852691)</f>
        <v>0</v>
      </c>
      <c r="AQ92" s="23" t="s">
        <v>51</v>
      </c>
      <c r="AV92" s="21">
        <f>AW92+AX92</f>
        <v>0</v>
      </c>
      <c r="AW92" s="21">
        <f>F92*AO92</f>
        <v>0</v>
      </c>
      <c r="AX92" s="21">
        <f>F92*AP92</f>
        <v>0</v>
      </c>
      <c r="AY92" s="23" t="s">
        <v>136</v>
      </c>
      <c r="AZ92" s="23" t="s">
        <v>137</v>
      </c>
      <c r="BA92" s="10" t="s">
        <v>58</v>
      </c>
      <c r="BC92" s="21">
        <f>AW92+AX92</f>
        <v>0</v>
      </c>
      <c r="BD92" s="21">
        <f>G92/(100-BE92)*100</f>
        <v>0</v>
      </c>
      <c r="BE92" s="21">
        <v>0</v>
      </c>
      <c r="BF92" s="21">
        <f>L92</f>
        <v>156.89583</v>
      </c>
      <c r="BH92" s="21">
        <f>F92*AO92</f>
        <v>0</v>
      </c>
      <c r="BI92" s="21">
        <f>F92*AP92</f>
        <v>0</v>
      </c>
      <c r="BJ92" s="21">
        <f>F92*G92</f>
        <v>0</v>
      </c>
      <c r="BK92" s="21" t="s">
        <v>59</v>
      </c>
      <c r="BL92" s="21">
        <v>56</v>
      </c>
    </row>
    <row r="93" spans="1:14" ht="15">
      <c r="A93" s="2"/>
      <c r="C93" s="24" t="s">
        <v>475</v>
      </c>
      <c r="D93" s="24"/>
      <c r="F93" s="25">
        <v>409.5</v>
      </c>
      <c r="M93" s="26"/>
      <c r="N93" s="2"/>
    </row>
    <row r="94" spans="1:64" ht="15">
      <c r="A94" s="20" t="s">
        <v>206</v>
      </c>
      <c r="B94" s="3" t="s">
        <v>476</v>
      </c>
      <c r="C94" s="618" t="s">
        <v>477</v>
      </c>
      <c r="D94" s="608"/>
      <c r="E94" s="3" t="s">
        <v>54</v>
      </c>
      <c r="F94" s="21">
        <v>32</v>
      </c>
      <c r="G94" s="537"/>
      <c r="H94" s="21">
        <f>F94*AO94</f>
        <v>0</v>
      </c>
      <c r="I94" s="21">
        <f>F94*AP94</f>
        <v>0</v>
      </c>
      <c r="J94" s="21">
        <f>F94*G94</f>
        <v>0</v>
      </c>
      <c r="K94" s="21">
        <v>0.51086</v>
      </c>
      <c r="L94" s="21">
        <f>F94*K94</f>
        <v>16.34752</v>
      </c>
      <c r="M94" s="22" t="s">
        <v>55</v>
      </c>
      <c r="N94" s="2"/>
      <c r="Z94" s="21">
        <f>IF(AQ94="5",BJ94,0)</f>
        <v>0</v>
      </c>
      <c r="AB94" s="21">
        <f>IF(AQ94="1",BH94,0)</f>
        <v>0</v>
      </c>
      <c r="AC94" s="21">
        <f>IF(AQ94="1",BI94,0)</f>
        <v>0</v>
      </c>
      <c r="AD94" s="21">
        <f>IF(AQ94="7",BH94,0)</f>
        <v>0</v>
      </c>
      <c r="AE94" s="21">
        <f>IF(AQ94="7",BI94,0)</f>
        <v>0</v>
      </c>
      <c r="AF94" s="21">
        <f>IF(AQ94="2",BH94,0)</f>
        <v>0</v>
      </c>
      <c r="AG94" s="21">
        <f>IF(AQ94="2",BI94,0)</f>
        <v>0</v>
      </c>
      <c r="AH94" s="21">
        <f>IF(AQ94="0",BJ94,0)</f>
        <v>0</v>
      </c>
      <c r="AI94" s="10"/>
      <c r="AJ94" s="21">
        <f>IF(AN94=0,J94,0)</f>
        <v>0</v>
      </c>
      <c r="AK94" s="21">
        <f>IF(AN94=15,J94,0)</f>
        <v>0</v>
      </c>
      <c r="AL94" s="21">
        <f>IF(AN94=21,J94,0)</f>
        <v>0</v>
      </c>
      <c r="AN94" s="21">
        <v>21</v>
      </c>
      <c r="AO94" s="21">
        <f>G94*0.916914590979174</f>
        <v>0</v>
      </c>
      <c r="AP94" s="21">
        <f>G94*(1-0.916914590979174)</f>
        <v>0</v>
      </c>
      <c r="AQ94" s="23" t="s">
        <v>51</v>
      </c>
      <c r="AV94" s="21">
        <f>AW94+AX94</f>
        <v>0</v>
      </c>
      <c r="AW94" s="21">
        <f>F94*AO94</f>
        <v>0</v>
      </c>
      <c r="AX94" s="21">
        <f>F94*AP94</f>
        <v>0</v>
      </c>
      <c r="AY94" s="23" t="s">
        <v>136</v>
      </c>
      <c r="AZ94" s="23" t="s">
        <v>137</v>
      </c>
      <c r="BA94" s="10" t="s">
        <v>58</v>
      </c>
      <c r="BC94" s="21">
        <f>AW94+AX94</f>
        <v>0</v>
      </c>
      <c r="BD94" s="21">
        <f>G94/(100-BE94)*100</f>
        <v>0</v>
      </c>
      <c r="BE94" s="21">
        <v>0</v>
      </c>
      <c r="BF94" s="21">
        <f>L94</f>
        <v>16.34752</v>
      </c>
      <c r="BH94" s="21">
        <f>F94*AO94</f>
        <v>0</v>
      </c>
      <c r="BI94" s="21">
        <f>F94*AP94</f>
        <v>0</v>
      </c>
      <c r="BJ94" s="21">
        <f>F94*G94</f>
        <v>0</v>
      </c>
      <c r="BK94" s="21" t="s">
        <v>59</v>
      </c>
      <c r="BL94" s="21">
        <v>56</v>
      </c>
    </row>
    <row r="95" spans="1:14" ht="15">
      <c r="A95" s="2"/>
      <c r="C95" s="24" t="s">
        <v>221</v>
      </c>
      <c r="D95" s="24"/>
      <c r="F95" s="25">
        <v>32</v>
      </c>
      <c r="M95" s="26"/>
      <c r="N95" s="2"/>
    </row>
    <row r="96" spans="1:64" ht="15">
      <c r="A96" s="20" t="s">
        <v>211</v>
      </c>
      <c r="B96" s="3" t="s">
        <v>173</v>
      </c>
      <c r="C96" s="618" t="s">
        <v>174</v>
      </c>
      <c r="D96" s="608"/>
      <c r="E96" s="3" t="s">
        <v>54</v>
      </c>
      <c r="F96" s="21">
        <v>1523</v>
      </c>
      <c r="G96" s="537"/>
      <c r="H96" s="21">
        <f>F96*AO96</f>
        <v>0</v>
      </c>
      <c r="I96" s="21">
        <f>F96*AP96</f>
        <v>0</v>
      </c>
      <c r="J96" s="21">
        <f>F96*G96</f>
        <v>0</v>
      </c>
      <c r="K96" s="21">
        <v>0.18463</v>
      </c>
      <c r="L96" s="21">
        <f>F96*K96</f>
        <v>281.19149</v>
      </c>
      <c r="M96" s="22" t="s">
        <v>55</v>
      </c>
      <c r="N96" s="2"/>
      <c r="Z96" s="21">
        <f>IF(AQ96="5",BJ96,0)</f>
        <v>0</v>
      </c>
      <c r="AB96" s="21">
        <f>IF(AQ96="1",BH96,0)</f>
        <v>0</v>
      </c>
      <c r="AC96" s="21">
        <f>IF(AQ96="1",BI96,0)</f>
        <v>0</v>
      </c>
      <c r="AD96" s="21">
        <f>IF(AQ96="7",BH96,0)</f>
        <v>0</v>
      </c>
      <c r="AE96" s="21">
        <f>IF(AQ96="7",BI96,0)</f>
        <v>0</v>
      </c>
      <c r="AF96" s="21">
        <f>IF(AQ96="2",BH96,0)</f>
        <v>0</v>
      </c>
      <c r="AG96" s="21">
        <f>IF(AQ96="2",BI96,0)</f>
        <v>0</v>
      </c>
      <c r="AH96" s="21">
        <f>IF(AQ96="0",BJ96,0)</f>
        <v>0</v>
      </c>
      <c r="AI96" s="10"/>
      <c r="AJ96" s="21">
        <f>IF(AN96=0,J96,0)</f>
        <v>0</v>
      </c>
      <c r="AK96" s="21">
        <f>IF(AN96=15,J96,0)</f>
        <v>0</v>
      </c>
      <c r="AL96" s="21">
        <f>IF(AN96=21,J96,0)</f>
        <v>0</v>
      </c>
      <c r="AN96" s="21">
        <v>21</v>
      </c>
      <c r="AO96" s="21">
        <f>G96*0.872136540249339</f>
        <v>0</v>
      </c>
      <c r="AP96" s="21">
        <f>G96*(1-0.872136540249339)</f>
        <v>0</v>
      </c>
      <c r="AQ96" s="23" t="s">
        <v>51</v>
      </c>
      <c r="AV96" s="21">
        <f>AW96+AX96</f>
        <v>0</v>
      </c>
      <c r="AW96" s="21">
        <f>F96*AO96</f>
        <v>0</v>
      </c>
      <c r="AX96" s="21">
        <f>F96*AP96</f>
        <v>0</v>
      </c>
      <c r="AY96" s="23" t="s">
        <v>136</v>
      </c>
      <c r="AZ96" s="23" t="s">
        <v>137</v>
      </c>
      <c r="BA96" s="10" t="s">
        <v>58</v>
      </c>
      <c r="BC96" s="21">
        <f>AW96+AX96</f>
        <v>0</v>
      </c>
      <c r="BD96" s="21">
        <f>G96/(100-BE96)*100</f>
        <v>0</v>
      </c>
      <c r="BE96" s="21">
        <v>0</v>
      </c>
      <c r="BF96" s="21">
        <f>L96</f>
        <v>281.19149</v>
      </c>
      <c r="BH96" s="21">
        <f>F96*AO96</f>
        <v>0</v>
      </c>
      <c r="BI96" s="21">
        <f>F96*AP96</f>
        <v>0</v>
      </c>
      <c r="BJ96" s="21">
        <f>F96*G96</f>
        <v>0</v>
      </c>
      <c r="BK96" s="21" t="s">
        <v>59</v>
      </c>
      <c r="BL96" s="21">
        <v>56</v>
      </c>
    </row>
    <row r="97" spans="1:14" ht="15">
      <c r="A97" s="2"/>
      <c r="C97" s="24" t="s">
        <v>478</v>
      </c>
      <c r="D97" s="24"/>
      <c r="F97" s="25">
        <v>1523</v>
      </c>
      <c r="M97" s="26"/>
      <c r="N97" s="2"/>
    </row>
    <row r="98" spans="1:64" ht="15">
      <c r="A98" s="20" t="s">
        <v>108</v>
      </c>
      <c r="B98" s="3" t="s">
        <v>479</v>
      </c>
      <c r="C98" s="618" t="s">
        <v>480</v>
      </c>
      <c r="D98" s="608"/>
      <c r="E98" s="3" t="s">
        <v>54</v>
      </c>
      <c r="F98" s="21">
        <v>34</v>
      </c>
      <c r="G98" s="537"/>
      <c r="H98" s="21">
        <f>F98*AO98</f>
        <v>0</v>
      </c>
      <c r="I98" s="21">
        <f>F98*AP98</f>
        <v>0</v>
      </c>
      <c r="J98" s="21">
        <f>F98*G98</f>
        <v>0</v>
      </c>
      <c r="K98" s="21">
        <v>0.13188</v>
      </c>
      <c r="L98" s="21">
        <f>F98*K98</f>
        <v>4.4839199999999995</v>
      </c>
      <c r="M98" s="22" t="s">
        <v>55</v>
      </c>
      <c r="N98" s="2"/>
      <c r="Z98" s="21">
        <f>IF(AQ98="5",BJ98,0)</f>
        <v>0</v>
      </c>
      <c r="AB98" s="21">
        <f>IF(AQ98="1",BH98,0)</f>
        <v>0</v>
      </c>
      <c r="AC98" s="21">
        <f>IF(AQ98="1",BI98,0)</f>
        <v>0</v>
      </c>
      <c r="AD98" s="21">
        <f>IF(AQ98="7",BH98,0)</f>
        <v>0</v>
      </c>
      <c r="AE98" s="21">
        <f>IF(AQ98="7",BI98,0)</f>
        <v>0</v>
      </c>
      <c r="AF98" s="21">
        <f>IF(AQ98="2",BH98,0)</f>
        <v>0</v>
      </c>
      <c r="AG98" s="21">
        <f>IF(AQ98="2",BI98,0)</f>
        <v>0</v>
      </c>
      <c r="AH98" s="21">
        <f>IF(AQ98="0",BJ98,0)</f>
        <v>0</v>
      </c>
      <c r="AI98" s="10"/>
      <c r="AJ98" s="21">
        <f>IF(AN98=0,J98,0)</f>
        <v>0</v>
      </c>
      <c r="AK98" s="21">
        <f>IF(AN98=15,J98,0)</f>
        <v>0</v>
      </c>
      <c r="AL98" s="21">
        <f>IF(AN98=21,J98,0)</f>
        <v>0</v>
      </c>
      <c r="AN98" s="21">
        <v>21</v>
      </c>
      <c r="AO98" s="21">
        <f>G98*0.553270241850683</f>
        <v>0</v>
      </c>
      <c r="AP98" s="21">
        <f>G98*(1-0.553270241850683)</f>
        <v>0</v>
      </c>
      <c r="AQ98" s="23" t="s">
        <v>51</v>
      </c>
      <c r="AV98" s="21">
        <f>AW98+AX98</f>
        <v>0</v>
      </c>
      <c r="AW98" s="21">
        <f>F98*AO98</f>
        <v>0</v>
      </c>
      <c r="AX98" s="21">
        <f>F98*AP98</f>
        <v>0</v>
      </c>
      <c r="AY98" s="23" t="s">
        <v>136</v>
      </c>
      <c r="AZ98" s="23" t="s">
        <v>137</v>
      </c>
      <c r="BA98" s="10" t="s">
        <v>58</v>
      </c>
      <c r="BC98" s="21">
        <f>AW98+AX98</f>
        <v>0</v>
      </c>
      <c r="BD98" s="21">
        <f>G98/(100-BE98)*100</f>
        <v>0</v>
      </c>
      <c r="BE98" s="21">
        <v>0</v>
      </c>
      <c r="BF98" s="21">
        <f>L98</f>
        <v>4.4839199999999995</v>
      </c>
      <c r="BH98" s="21">
        <f>F98*AO98</f>
        <v>0</v>
      </c>
      <c r="BI98" s="21">
        <f>F98*AP98</f>
        <v>0</v>
      </c>
      <c r="BJ98" s="21">
        <f>F98*G98</f>
        <v>0</v>
      </c>
      <c r="BK98" s="21" t="s">
        <v>59</v>
      </c>
      <c r="BL98" s="21">
        <v>56</v>
      </c>
    </row>
    <row r="99" spans="1:14" ht="15">
      <c r="A99" s="2"/>
      <c r="B99" s="27" t="s">
        <v>138</v>
      </c>
      <c r="C99" s="639" t="s">
        <v>481</v>
      </c>
      <c r="D99" s="640"/>
      <c r="E99" s="640"/>
      <c r="F99" s="640"/>
      <c r="G99" s="640"/>
      <c r="H99" s="640"/>
      <c r="I99" s="640"/>
      <c r="J99" s="640"/>
      <c r="K99" s="640"/>
      <c r="L99" s="640"/>
      <c r="M99" s="641"/>
      <c r="N99" s="2"/>
    </row>
    <row r="100" spans="1:14" ht="15">
      <c r="A100" s="2"/>
      <c r="C100" s="24" t="s">
        <v>229</v>
      </c>
      <c r="D100" s="24"/>
      <c r="F100" s="25">
        <v>34</v>
      </c>
      <c r="M100" s="26"/>
      <c r="N100" s="2"/>
    </row>
    <row r="101" spans="1:47" ht="15">
      <c r="A101" s="41"/>
      <c r="B101" s="42" t="s">
        <v>175</v>
      </c>
      <c r="C101" s="637" t="s">
        <v>176</v>
      </c>
      <c r="D101" s="638"/>
      <c r="E101" s="43" t="s">
        <v>4</v>
      </c>
      <c r="F101" s="43" t="s">
        <v>4</v>
      </c>
      <c r="G101" s="43" t="s">
        <v>4</v>
      </c>
      <c r="H101" s="44">
        <f>SUM(H102:H109)</f>
        <v>0</v>
      </c>
      <c r="I101" s="44">
        <f>SUM(I102:I109)</f>
        <v>0</v>
      </c>
      <c r="J101" s="44">
        <f>SUM(J102:J109)</f>
        <v>0</v>
      </c>
      <c r="K101" s="45"/>
      <c r="L101" s="44">
        <f>SUM(L102:L109)</f>
        <v>212.97264</v>
      </c>
      <c r="M101" s="46"/>
      <c r="N101" s="2"/>
      <c r="AI101" s="10"/>
      <c r="AS101" s="19">
        <f>SUM(AJ102:AJ109)</f>
        <v>0</v>
      </c>
      <c r="AT101" s="19">
        <f>SUM(AK102:AK109)</f>
        <v>0</v>
      </c>
      <c r="AU101" s="19">
        <f>SUM(AL102:AL109)</f>
        <v>0</v>
      </c>
    </row>
    <row r="102" spans="1:64" ht="15">
      <c r="A102" s="20" t="s">
        <v>221</v>
      </c>
      <c r="B102" s="3" t="s">
        <v>178</v>
      </c>
      <c r="C102" s="618" t="s">
        <v>179</v>
      </c>
      <c r="D102" s="608"/>
      <c r="E102" s="3" t="s">
        <v>54</v>
      </c>
      <c r="F102" s="21">
        <v>1523</v>
      </c>
      <c r="G102" s="537"/>
      <c r="H102" s="21">
        <f>F102*AO102</f>
        <v>0</v>
      </c>
      <c r="I102" s="21">
        <f>F102*AP102</f>
        <v>0</v>
      </c>
      <c r="J102" s="21">
        <f>F102*G102</f>
        <v>0</v>
      </c>
      <c r="K102" s="21">
        <v>0.12966</v>
      </c>
      <c r="L102" s="21">
        <f>F102*K102</f>
        <v>197.47218</v>
      </c>
      <c r="M102" s="22" t="s">
        <v>55</v>
      </c>
      <c r="N102" s="2"/>
      <c r="Z102" s="21">
        <f>IF(AQ102="5",BJ102,0)</f>
        <v>0</v>
      </c>
      <c r="AB102" s="21">
        <f>IF(AQ102="1",BH102,0)</f>
        <v>0</v>
      </c>
      <c r="AC102" s="21">
        <f>IF(AQ102="1",BI102,0)</f>
        <v>0</v>
      </c>
      <c r="AD102" s="21">
        <f>IF(AQ102="7",BH102,0)</f>
        <v>0</v>
      </c>
      <c r="AE102" s="21">
        <f>IF(AQ102="7",BI102,0)</f>
        <v>0</v>
      </c>
      <c r="AF102" s="21">
        <f>IF(AQ102="2",BH102,0)</f>
        <v>0</v>
      </c>
      <c r="AG102" s="21">
        <f>IF(AQ102="2",BI102,0)</f>
        <v>0</v>
      </c>
      <c r="AH102" s="21">
        <f>IF(AQ102="0",BJ102,0)</f>
        <v>0</v>
      </c>
      <c r="AI102" s="10"/>
      <c r="AJ102" s="21">
        <f>IF(AN102=0,J102,0)</f>
        <v>0</v>
      </c>
      <c r="AK102" s="21">
        <f>IF(AN102=15,J102,0)</f>
        <v>0</v>
      </c>
      <c r="AL102" s="21">
        <f>IF(AN102=21,J102,0)</f>
        <v>0</v>
      </c>
      <c r="AN102" s="21">
        <v>21</v>
      </c>
      <c r="AO102" s="21">
        <f>G102*0.903884156729131</f>
        <v>0</v>
      </c>
      <c r="AP102" s="21">
        <f>G102*(1-0.903884156729131)</f>
        <v>0</v>
      </c>
      <c r="AQ102" s="23" t="s">
        <v>51</v>
      </c>
      <c r="AV102" s="21">
        <f>AW102+AX102</f>
        <v>0</v>
      </c>
      <c r="AW102" s="21">
        <f>F102*AO102</f>
        <v>0</v>
      </c>
      <c r="AX102" s="21">
        <f>F102*AP102</f>
        <v>0</v>
      </c>
      <c r="AY102" s="23" t="s">
        <v>180</v>
      </c>
      <c r="AZ102" s="23" t="s">
        <v>137</v>
      </c>
      <c r="BA102" s="10" t="s">
        <v>58</v>
      </c>
      <c r="BC102" s="21">
        <f>AW102+AX102</f>
        <v>0</v>
      </c>
      <c r="BD102" s="21">
        <f>G102/(100-BE102)*100</f>
        <v>0</v>
      </c>
      <c r="BE102" s="21">
        <v>0</v>
      </c>
      <c r="BF102" s="21">
        <f>L102</f>
        <v>197.47218</v>
      </c>
      <c r="BH102" s="21">
        <f>F102*AO102</f>
        <v>0</v>
      </c>
      <c r="BI102" s="21">
        <f>F102*AP102</f>
        <v>0</v>
      </c>
      <c r="BJ102" s="21">
        <f>F102*G102</f>
        <v>0</v>
      </c>
      <c r="BK102" s="21" t="s">
        <v>59</v>
      </c>
      <c r="BL102" s="21">
        <v>57</v>
      </c>
    </row>
    <row r="103" spans="1:14" ht="15">
      <c r="A103" s="2"/>
      <c r="C103" s="24" t="s">
        <v>478</v>
      </c>
      <c r="D103" s="24"/>
      <c r="F103" s="25">
        <v>1523</v>
      </c>
      <c r="M103" s="26"/>
      <c r="N103" s="2"/>
    </row>
    <row r="104" spans="1:64" ht="15">
      <c r="A104" s="20" t="s">
        <v>226</v>
      </c>
      <c r="B104" s="3" t="s">
        <v>182</v>
      </c>
      <c r="C104" s="618" t="s">
        <v>183</v>
      </c>
      <c r="D104" s="608"/>
      <c r="E104" s="3" t="s">
        <v>54</v>
      </c>
      <c r="F104" s="21">
        <v>3202</v>
      </c>
      <c r="G104" s="537"/>
      <c r="H104" s="21">
        <f>F104*AO104</f>
        <v>0</v>
      </c>
      <c r="I104" s="21">
        <f>F104*AP104</f>
        <v>0</v>
      </c>
      <c r="J104" s="21">
        <f>F104*G104</f>
        <v>0</v>
      </c>
      <c r="K104" s="21">
        <v>0.0005</v>
      </c>
      <c r="L104" s="21">
        <f>F104*K104</f>
        <v>1.601</v>
      </c>
      <c r="M104" s="22" t="s">
        <v>55</v>
      </c>
      <c r="N104" s="2"/>
      <c r="Z104" s="21">
        <f>IF(AQ104="5",BJ104,0)</f>
        <v>0</v>
      </c>
      <c r="AB104" s="21">
        <f>IF(AQ104="1",BH104,0)</f>
        <v>0</v>
      </c>
      <c r="AC104" s="21">
        <f>IF(AQ104="1",BI104,0)</f>
        <v>0</v>
      </c>
      <c r="AD104" s="21">
        <f>IF(AQ104="7",BH104,0)</f>
        <v>0</v>
      </c>
      <c r="AE104" s="21">
        <f>IF(AQ104="7",BI104,0)</f>
        <v>0</v>
      </c>
      <c r="AF104" s="21">
        <f>IF(AQ104="2",BH104,0)</f>
        <v>0</v>
      </c>
      <c r="AG104" s="21">
        <f>IF(AQ104="2",BI104,0)</f>
        <v>0</v>
      </c>
      <c r="AH104" s="21">
        <f>IF(AQ104="0",BJ104,0)</f>
        <v>0</v>
      </c>
      <c r="AI104" s="10"/>
      <c r="AJ104" s="21">
        <f>IF(AN104=0,J104,0)</f>
        <v>0</v>
      </c>
      <c r="AK104" s="21">
        <f>IF(AN104=15,J104,0)</f>
        <v>0</v>
      </c>
      <c r="AL104" s="21">
        <f>IF(AN104=21,J104,0)</f>
        <v>0</v>
      </c>
      <c r="AN104" s="21">
        <v>21</v>
      </c>
      <c r="AO104" s="21">
        <f>G104*0.855054811205846</f>
        <v>0</v>
      </c>
      <c r="AP104" s="21">
        <f>G104*(1-0.855054811205846)</f>
        <v>0</v>
      </c>
      <c r="AQ104" s="23" t="s">
        <v>51</v>
      </c>
      <c r="AV104" s="21">
        <f>AW104+AX104</f>
        <v>0</v>
      </c>
      <c r="AW104" s="21">
        <f>F104*AO104</f>
        <v>0</v>
      </c>
      <c r="AX104" s="21">
        <f>F104*AP104</f>
        <v>0</v>
      </c>
      <c r="AY104" s="23" t="s">
        <v>180</v>
      </c>
      <c r="AZ104" s="23" t="s">
        <v>137</v>
      </c>
      <c r="BA104" s="10" t="s">
        <v>58</v>
      </c>
      <c r="BC104" s="21">
        <f>AW104+AX104</f>
        <v>0</v>
      </c>
      <c r="BD104" s="21">
        <f>G104/(100-BE104)*100</f>
        <v>0</v>
      </c>
      <c r="BE104" s="21">
        <v>0</v>
      </c>
      <c r="BF104" s="21">
        <f>L104</f>
        <v>1.601</v>
      </c>
      <c r="BH104" s="21">
        <f>F104*AO104</f>
        <v>0</v>
      </c>
      <c r="BI104" s="21">
        <f>F104*AP104</f>
        <v>0</v>
      </c>
      <c r="BJ104" s="21">
        <f>F104*G104</f>
        <v>0</v>
      </c>
      <c r="BK104" s="21" t="s">
        <v>59</v>
      </c>
      <c r="BL104" s="21">
        <v>57</v>
      </c>
    </row>
    <row r="105" spans="1:14" ht="15">
      <c r="A105" s="2"/>
      <c r="C105" s="24" t="s">
        <v>482</v>
      </c>
      <c r="D105" s="24"/>
      <c r="F105" s="25">
        <v>3202</v>
      </c>
      <c r="M105" s="26"/>
      <c r="N105" s="2"/>
    </row>
    <row r="106" spans="1:64" ht="15">
      <c r="A106" s="20" t="s">
        <v>229</v>
      </c>
      <c r="B106" s="3" t="s">
        <v>483</v>
      </c>
      <c r="C106" s="618" t="s">
        <v>484</v>
      </c>
      <c r="D106" s="608"/>
      <c r="E106" s="3" t="s">
        <v>54</v>
      </c>
      <c r="F106" s="21">
        <v>52</v>
      </c>
      <c r="G106" s="537"/>
      <c r="H106" s="21">
        <f>F106*AO106</f>
        <v>0</v>
      </c>
      <c r="I106" s="21">
        <f>F106*AP106</f>
        <v>0</v>
      </c>
      <c r="J106" s="21">
        <f>F106*G106</f>
        <v>0</v>
      </c>
      <c r="K106" s="21">
        <v>0.12966</v>
      </c>
      <c r="L106" s="21">
        <f>F106*K106</f>
        <v>6.742319999999999</v>
      </c>
      <c r="M106" s="22" t="s">
        <v>55</v>
      </c>
      <c r="N106" s="2"/>
      <c r="Z106" s="21">
        <f>IF(AQ106="5",BJ106,0)</f>
        <v>0</v>
      </c>
      <c r="AB106" s="21">
        <f>IF(AQ106="1",BH106,0)</f>
        <v>0</v>
      </c>
      <c r="AC106" s="21">
        <f>IF(AQ106="1",BI106,0)</f>
        <v>0</v>
      </c>
      <c r="AD106" s="21">
        <f>IF(AQ106="7",BH106,0)</f>
        <v>0</v>
      </c>
      <c r="AE106" s="21">
        <f>IF(AQ106="7",BI106,0)</f>
        <v>0</v>
      </c>
      <c r="AF106" s="21">
        <f>IF(AQ106="2",BH106,0)</f>
        <v>0</v>
      </c>
      <c r="AG106" s="21">
        <f>IF(AQ106="2",BI106,0)</f>
        <v>0</v>
      </c>
      <c r="AH106" s="21">
        <f>IF(AQ106="0",BJ106,0)</f>
        <v>0</v>
      </c>
      <c r="AI106" s="10"/>
      <c r="AJ106" s="21">
        <f>IF(AN106=0,J106,0)</f>
        <v>0</v>
      </c>
      <c r="AK106" s="21">
        <f>IF(AN106=15,J106,0)</f>
        <v>0</v>
      </c>
      <c r="AL106" s="21">
        <f>IF(AN106=21,J106,0)</f>
        <v>0</v>
      </c>
      <c r="AN106" s="21">
        <v>21</v>
      </c>
      <c r="AO106" s="21">
        <f>G106*0.611657032755299</f>
        <v>0</v>
      </c>
      <c r="AP106" s="21">
        <f>G106*(1-0.611657032755299)</f>
        <v>0</v>
      </c>
      <c r="AQ106" s="23" t="s">
        <v>51</v>
      </c>
      <c r="AV106" s="21">
        <f>AW106+AX106</f>
        <v>0</v>
      </c>
      <c r="AW106" s="21">
        <f>F106*AO106</f>
        <v>0</v>
      </c>
      <c r="AX106" s="21">
        <f>F106*AP106</f>
        <v>0</v>
      </c>
      <c r="AY106" s="23" t="s">
        <v>180</v>
      </c>
      <c r="AZ106" s="23" t="s">
        <v>137</v>
      </c>
      <c r="BA106" s="10" t="s">
        <v>58</v>
      </c>
      <c r="BC106" s="21">
        <f>AW106+AX106</f>
        <v>0</v>
      </c>
      <c r="BD106" s="21">
        <f>G106/(100-BE106)*100</f>
        <v>0</v>
      </c>
      <c r="BE106" s="21">
        <v>0</v>
      </c>
      <c r="BF106" s="21">
        <f>L106</f>
        <v>6.742319999999999</v>
      </c>
      <c r="BH106" s="21">
        <f>F106*AO106</f>
        <v>0</v>
      </c>
      <c r="BI106" s="21">
        <f>F106*AP106</f>
        <v>0</v>
      </c>
      <c r="BJ106" s="21">
        <f>F106*G106</f>
        <v>0</v>
      </c>
      <c r="BK106" s="21" t="s">
        <v>59</v>
      </c>
      <c r="BL106" s="21">
        <v>57</v>
      </c>
    </row>
    <row r="107" spans="1:14" ht="15">
      <c r="A107" s="2"/>
      <c r="B107" s="27" t="s">
        <v>138</v>
      </c>
      <c r="C107" s="639" t="s">
        <v>481</v>
      </c>
      <c r="D107" s="640"/>
      <c r="E107" s="640"/>
      <c r="F107" s="640"/>
      <c r="G107" s="640"/>
      <c r="H107" s="640"/>
      <c r="I107" s="640"/>
      <c r="J107" s="640"/>
      <c r="K107" s="640"/>
      <c r="L107" s="640"/>
      <c r="M107" s="641"/>
      <c r="N107" s="2"/>
    </row>
    <row r="108" spans="1:14" ht="15">
      <c r="A108" s="2"/>
      <c r="C108" s="24" t="s">
        <v>319</v>
      </c>
      <c r="D108" s="24"/>
      <c r="F108" s="25">
        <v>52</v>
      </c>
      <c r="M108" s="26"/>
      <c r="N108" s="2"/>
    </row>
    <row r="109" spans="1:64" ht="15">
      <c r="A109" s="20" t="s">
        <v>112</v>
      </c>
      <c r="B109" s="3" t="s">
        <v>485</v>
      </c>
      <c r="C109" s="618" t="s">
        <v>486</v>
      </c>
      <c r="D109" s="608"/>
      <c r="E109" s="3" t="s">
        <v>54</v>
      </c>
      <c r="F109" s="21">
        <v>46</v>
      </c>
      <c r="G109" s="537"/>
      <c r="H109" s="21">
        <f>F109*AO109</f>
        <v>0</v>
      </c>
      <c r="I109" s="21">
        <f>F109*AP109</f>
        <v>0</v>
      </c>
      <c r="J109" s="21">
        <f>F109*G109</f>
        <v>0</v>
      </c>
      <c r="K109" s="21">
        <v>0.15559</v>
      </c>
      <c r="L109" s="21">
        <f>F109*K109</f>
        <v>7.15714</v>
      </c>
      <c r="M109" s="22" t="s">
        <v>55</v>
      </c>
      <c r="N109" s="2"/>
      <c r="Z109" s="21">
        <f>IF(AQ109="5",BJ109,0)</f>
        <v>0</v>
      </c>
      <c r="AB109" s="21">
        <f>IF(AQ109="1",BH109,0)</f>
        <v>0</v>
      </c>
      <c r="AC109" s="21">
        <f>IF(AQ109="1",BI109,0)</f>
        <v>0</v>
      </c>
      <c r="AD109" s="21">
        <f>IF(AQ109="7",BH109,0)</f>
        <v>0</v>
      </c>
      <c r="AE109" s="21">
        <f>IF(AQ109="7",BI109,0)</f>
        <v>0</v>
      </c>
      <c r="AF109" s="21">
        <f>IF(AQ109="2",BH109,0)</f>
        <v>0</v>
      </c>
      <c r="AG109" s="21">
        <f>IF(AQ109="2",BI109,0)</f>
        <v>0</v>
      </c>
      <c r="AH109" s="21">
        <f>IF(AQ109="0",BJ109,0)</f>
        <v>0</v>
      </c>
      <c r="AI109" s="10"/>
      <c r="AJ109" s="21">
        <f>IF(AN109=0,J109,0)</f>
        <v>0</v>
      </c>
      <c r="AK109" s="21">
        <f>IF(AN109=15,J109,0)</f>
        <v>0</v>
      </c>
      <c r="AL109" s="21">
        <f>IF(AN109=21,J109,0)</f>
        <v>0</v>
      </c>
      <c r="AN109" s="21">
        <v>21</v>
      </c>
      <c r="AO109" s="21">
        <f>G109*0.626984924623116</f>
        <v>0</v>
      </c>
      <c r="AP109" s="21">
        <f>G109*(1-0.626984924623116)</f>
        <v>0</v>
      </c>
      <c r="AQ109" s="23" t="s">
        <v>51</v>
      </c>
      <c r="AV109" s="21">
        <f>AW109+AX109</f>
        <v>0</v>
      </c>
      <c r="AW109" s="21">
        <f>F109*AO109</f>
        <v>0</v>
      </c>
      <c r="AX109" s="21">
        <f>F109*AP109</f>
        <v>0</v>
      </c>
      <c r="AY109" s="23" t="s">
        <v>180</v>
      </c>
      <c r="AZ109" s="23" t="s">
        <v>137</v>
      </c>
      <c r="BA109" s="10" t="s">
        <v>58</v>
      </c>
      <c r="BC109" s="21">
        <f>AW109+AX109</f>
        <v>0</v>
      </c>
      <c r="BD109" s="21">
        <f>G109/(100-BE109)*100</f>
        <v>0</v>
      </c>
      <c r="BE109" s="21">
        <v>0</v>
      </c>
      <c r="BF109" s="21">
        <f>L109</f>
        <v>7.15714</v>
      </c>
      <c r="BH109" s="21">
        <f>F109*AO109</f>
        <v>0</v>
      </c>
      <c r="BI109" s="21">
        <f>F109*AP109</f>
        <v>0</v>
      </c>
      <c r="BJ109" s="21">
        <f>F109*G109</f>
        <v>0</v>
      </c>
      <c r="BK109" s="21" t="s">
        <v>59</v>
      </c>
      <c r="BL109" s="21">
        <v>57</v>
      </c>
    </row>
    <row r="110" spans="1:14" ht="15">
      <c r="A110" s="2"/>
      <c r="B110" s="27" t="s">
        <v>138</v>
      </c>
      <c r="C110" s="639" t="s">
        <v>481</v>
      </c>
      <c r="D110" s="640"/>
      <c r="E110" s="640"/>
      <c r="F110" s="640"/>
      <c r="G110" s="640"/>
      <c r="H110" s="640"/>
      <c r="I110" s="640"/>
      <c r="J110" s="640"/>
      <c r="K110" s="640"/>
      <c r="L110" s="640"/>
      <c r="M110" s="641"/>
      <c r="N110" s="2"/>
    </row>
    <row r="111" spans="1:14" ht="15">
      <c r="A111" s="2"/>
      <c r="C111" s="24" t="s">
        <v>281</v>
      </c>
      <c r="D111" s="24"/>
      <c r="F111" s="25">
        <v>46</v>
      </c>
      <c r="M111" s="26"/>
      <c r="N111" s="2"/>
    </row>
    <row r="112" spans="1:47" ht="15">
      <c r="A112" s="41"/>
      <c r="B112" s="42" t="s">
        <v>185</v>
      </c>
      <c r="C112" s="637" t="s">
        <v>186</v>
      </c>
      <c r="D112" s="638"/>
      <c r="E112" s="43" t="s">
        <v>4</v>
      </c>
      <c r="F112" s="43" t="s">
        <v>4</v>
      </c>
      <c r="G112" s="43" t="s">
        <v>4</v>
      </c>
      <c r="H112" s="44">
        <f>SUM(H113:H155)</f>
        <v>0</v>
      </c>
      <c r="I112" s="44">
        <f>SUM(I113:I155)</f>
        <v>0</v>
      </c>
      <c r="J112" s="44">
        <f>SUM(J113:J155)</f>
        <v>0</v>
      </c>
      <c r="K112" s="45"/>
      <c r="L112" s="44">
        <f>SUM(L113:L155)</f>
        <v>227.4638</v>
      </c>
      <c r="M112" s="46"/>
      <c r="N112" s="2"/>
      <c r="AI112" s="10"/>
      <c r="AS112" s="19">
        <f>SUM(AJ113:AJ155)</f>
        <v>0</v>
      </c>
      <c r="AT112" s="19">
        <f>SUM(AK113:AK155)</f>
        <v>0</v>
      </c>
      <c r="AU112" s="19">
        <f>SUM(AL113:AL155)</f>
        <v>0</v>
      </c>
    </row>
    <row r="113" spans="1:64" ht="15">
      <c r="A113" s="20" t="s">
        <v>237</v>
      </c>
      <c r="B113" s="3" t="s">
        <v>188</v>
      </c>
      <c r="C113" s="618" t="s">
        <v>189</v>
      </c>
      <c r="D113" s="608"/>
      <c r="E113" s="3" t="s">
        <v>54</v>
      </c>
      <c r="F113" s="21">
        <v>469.5</v>
      </c>
      <c r="G113" s="537"/>
      <c r="H113" s="21">
        <f>F113*AO113</f>
        <v>0</v>
      </c>
      <c r="I113" s="21">
        <f>F113*AP113</f>
        <v>0</v>
      </c>
      <c r="J113" s="21">
        <f>F113*G113</f>
        <v>0</v>
      </c>
      <c r="K113" s="21">
        <v>0.0739</v>
      </c>
      <c r="L113" s="21">
        <f>F113*K113</f>
        <v>34.69605</v>
      </c>
      <c r="M113" s="22" t="s">
        <v>55</v>
      </c>
      <c r="N113" s="2"/>
      <c r="Z113" s="21">
        <f>IF(AQ113="5",BJ113,0)</f>
        <v>0</v>
      </c>
      <c r="AB113" s="21">
        <f>IF(AQ113="1",BH113,0)</f>
        <v>0</v>
      </c>
      <c r="AC113" s="21">
        <f>IF(AQ113="1",BI113,0)</f>
        <v>0</v>
      </c>
      <c r="AD113" s="21">
        <f>IF(AQ113="7",BH113,0)</f>
        <v>0</v>
      </c>
      <c r="AE113" s="21">
        <f>IF(AQ113="7",BI113,0)</f>
        <v>0</v>
      </c>
      <c r="AF113" s="21">
        <f>IF(AQ113="2",BH113,0)</f>
        <v>0</v>
      </c>
      <c r="AG113" s="21">
        <f>IF(AQ113="2",BI113,0)</f>
        <v>0</v>
      </c>
      <c r="AH113" s="21">
        <f>IF(AQ113="0",BJ113,0)</f>
        <v>0</v>
      </c>
      <c r="AI113" s="10"/>
      <c r="AJ113" s="21">
        <f>IF(AN113=0,J113,0)</f>
        <v>0</v>
      </c>
      <c r="AK113" s="21">
        <f>IF(AN113=15,J113,0)</f>
        <v>0</v>
      </c>
      <c r="AL113" s="21">
        <f>IF(AN113=21,J113,0)</f>
        <v>0</v>
      </c>
      <c r="AN113" s="21">
        <v>21</v>
      </c>
      <c r="AO113" s="21">
        <f>G113*0.144991452991453</f>
        <v>0</v>
      </c>
      <c r="AP113" s="21">
        <f>G113*(1-0.144991452991453)</f>
        <v>0</v>
      </c>
      <c r="AQ113" s="23" t="s">
        <v>51</v>
      </c>
      <c r="AV113" s="21">
        <f>AW113+AX113</f>
        <v>0</v>
      </c>
      <c r="AW113" s="21">
        <f>F113*AO113</f>
        <v>0</v>
      </c>
      <c r="AX113" s="21">
        <f>F113*AP113</f>
        <v>0</v>
      </c>
      <c r="AY113" s="23" t="s">
        <v>190</v>
      </c>
      <c r="AZ113" s="23" t="s">
        <v>137</v>
      </c>
      <c r="BA113" s="10" t="s">
        <v>58</v>
      </c>
      <c r="BC113" s="21">
        <f>AW113+AX113</f>
        <v>0</v>
      </c>
      <c r="BD113" s="21">
        <f>G113/(100-BE113)*100</f>
        <v>0</v>
      </c>
      <c r="BE113" s="21">
        <v>0</v>
      </c>
      <c r="BF113" s="21">
        <f>L113</f>
        <v>34.69605</v>
      </c>
      <c r="BH113" s="21">
        <f>F113*AO113</f>
        <v>0</v>
      </c>
      <c r="BI113" s="21">
        <f>F113*AP113</f>
        <v>0</v>
      </c>
      <c r="BJ113" s="21">
        <f>F113*G113</f>
        <v>0</v>
      </c>
      <c r="BK113" s="21" t="s">
        <v>59</v>
      </c>
      <c r="BL113" s="21">
        <v>59</v>
      </c>
    </row>
    <row r="114" spans="1:14" ht="15">
      <c r="A114" s="2"/>
      <c r="C114" s="24" t="s">
        <v>487</v>
      </c>
      <c r="D114" s="24"/>
      <c r="F114" s="25">
        <v>469.5</v>
      </c>
      <c r="M114" s="26"/>
      <c r="N114" s="2"/>
    </row>
    <row r="115" spans="1:14" ht="25.65" customHeight="1">
      <c r="A115" s="2"/>
      <c r="B115" s="27" t="s">
        <v>61</v>
      </c>
      <c r="C115" s="634" t="s">
        <v>197</v>
      </c>
      <c r="D115" s="635"/>
      <c r="E115" s="635"/>
      <c r="F115" s="635"/>
      <c r="G115" s="635"/>
      <c r="H115" s="635"/>
      <c r="I115" s="635"/>
      <c r="J115" s="635"/>
      <c r="K115" s="635"/>
      <c r="L115" s="635"/>
      <c r="M115" s="636"/>
      <c r="N115" s="2"/>
    </row>
    <row r="116" spans="1:64" ht="15">
      <c r="A116" s="20" t="s">
        <v>243</v>
      </c>
      <c r="B116" s="3" t="s">
        <v>199</v>
      </c>
      <c r="C116" s="618" t="s">
        <v>200</v>
      </c>
      <c r="D116" s="608"/>
      <c r="E116" s="3" t="s">
        <v>54</v>
      </c>
      <c r="F116" s="21">
        <v>74.55</v>
      </c>
      <c r="G116" s="537"/>
      <c r="H116" s="21">
        <f>F116*AO116</f>
        <v>0</v>
      </c>
      <c r="I116" s="21">
        <f>F116*AP116</f>
        <v>0</v>
      </c>
      <c r="J116" s="21">
        <f>F116*G116</f>
        <v>0</v>
      </c>
      <c r="K116" s="21">
        <v>0.188</v>
      </c>
      <c r="L116" s="21">
        <f>F116*K116</f>
        <v>14.0154</v>
      </c>
      <c r="M116" s="22" t="s">
        <v>55</v>
      </c>
      <c r="N116" s="2"/>
      <c r="Z116" s="21">
        <f>IF(AQ116="5",BJ116,0)</f>
        <v>0</v>
      </c>
      <c r="AB116" s="21">
        <f>IF(AQ116="1",BH116,0)</f>
        <v>0</v>
      </c>
      <c r="AC116" s="21">
        <f>IF(AQ116="1",BI116,0)</f>
        <v>0</v>
      </c>
      <c r="AD116" s="21">
        <f>IF(AQ116="7",BH116,0)</f>
        <v>0</v>
      </c>
      <c r="AE116" s="21">
        <f>IF(AQ116="7",BI116,0)</f>
        <v>0</v>
      </c>
      <c r="AF116" s="21">
        <f>IF(AQ116="2",BH116,0)</f>
        <v>0</v>
      </c>
      <c r="AG116" s="21">
        <f>IF(AQ116="2",BI116,0)</f>
        <v>0</v>
      </c>
      <c r="AH116" s="21">
        <f>IF(AQ116="0",BJ116,0)</f>
        <v>0</v>
      </c>
      <c r="AI116" s="10"/>
      <c r="AJ116" s="21">
        <f>IF(AN116=0,J116,0)</f>
        <v>0</v>
      </c>
      <c r="AK116" s="21">
        <f>IF(AN116=15,J116,0)</f>
        <v>0</v>
      </c>
      <c r="AL116" s="21">
        <f>IF(AN116=21,J116,0)</f>
        <v>0</v>
      </c>
      <c r="AN116" s="21">
        <v>21</v>
      </c>
      <c r="AO116" s="21">
        <f>G116*1</f>
        <v>0</v>
      </c>
      <c r="AP116" s="21">
        <f>G116*(1-1)</f>
        <v>0</v>
      </c>
      <c r="AQ116" s="23" t="s">
        <v>51</v>
      </c>
      <c r="AV116" s="21">
        <f>AW116+AX116</f>
        <v>0</v>
      </c>
      <c r="AW116" s="21">
        <f>F116*AO116</f>
        <v>0</v>
      </c>
      <c r="AX116" s="21">
        <f>F116*AP116</f>
        <v>0</v>
      </c>
      <c r="AY116" s="23" t="s">
        <v>190</v>
      </c>
      <c r="AZ116" s="23" t="s">
        <v>137</v>
      </c>
      <c r="BA116" s="10" t="s">
        <v>58</v>
      </c>
      <c r="BC116" s="21">
        <f>AW116+AX116</f>
        <v>0</v>
      </c>
      <c r="BD116" s="21">
        <f>G116/(100-BE116)*100</f>
        <v>0</v>
      </c>
      <c r="BE116" s="21">
        <v>0</v>
      </c>
      <c r="BF116" s="21">
        <f>L116</f>
        <v>14.0154</v>
      </c>
      <c r="BH116" s="21">
        <f>F116*AO116</f>
        <v>0</v>
      </c>
      <c r="BI116" s="21">
        <f>F116*AP116</f>
        <v>0</v>
      </c>
      <c r="BJ116" s="21">
        <f>F116*G116</f>
        <v>0</v>
      </c>
      <c r="BK116" s="21" t="s">
        <v>201</v>
      </c>
      <c r="BL116" s="21">
        <v>59</v>
      </c>
    </row>
    <row r="117" spans="1:14" ht="15">
      <c r="A117" s="2"/>
      <c r="C117" s="24" t="s">
        <v>348</v>
      </c>
      <c r="D117" s="24" t="s">
        <v>196</v>
      </c>
      <c r="F117" s="25">
        <v>60</v>
      </c>
      <c r="M117" s="26"/>
      <c r="N117" s="2"/>
    </row>
    <row r="118" spans="1:14" ht="15">
      <c r="A118" s="2"/>
      <c r="C118" s="24" t="s">
        <v>49</v>
      </c>
      <c r="D118" s="24" t="s">
        <v>204</v>
      </c>
      <c r="F118" s="25">
        <v>11</v>
      </c>
      <c r="M118" s="26"/>
      <c r="N118" s="2"/>
    </row>
    <row r="119" spans="1:14" ht="15">
      <c r="A119" s="2"/>
      <c r="C119" s="24" t="s">
        <v>488</v>
      </c>
      <c r="D119" s="24"/>
      <c r="F119" s="25">
        <v>3.55</v>
      </c>
      <c r="M119" s="26"/>
      <c r="N119" s="2"/>
    </row>
    <row r="120" spans="1:64" ht="15">
      <c r="A120" s="20" t="s">
        <v>144</v>
      </c>
      <c r="B120" s="3" t="s">
        <v>207</v>
      </c>
      <c r="C120" s="618" t="s">
        <v>208</v>
      </c>
      <c r="D120" s="608"/>
      <c r="E120" s="3" t="s">
        <v>54</v>
      </c>
      <c r="F120" s="21">
        <v>403.725</v>
      </c>
      <c r="G120" s="537"/>
      <c r="H120" s="21">
        <f>F120*AO120</f>
        <v>0</v>
      </c>
      <c r="I120" s="21">
        <f>F120*AP120</f>
        <v>0</v>
      </c>
      <c r="J120" s="21">
        <f>F120*G120</f>
        <v>0</v>
      </c>
      <c r="K120" s="21">
        <v>0.188</v>
      </c>
      <c r="L120" s="21">
        <f>F120*K120</f>
        <v>75.9003</v>
      </c>
      <c r="M120" s="22" t="s">
        <v>55</v>
      </c>
      <c r="N120" s="2"/>
      <c r="Z120" s="21">
        <f>IF(AQ120="5",BJ120,0)</f>
        <v>0</v>
      </c>
      <c r="AB120" s="21">
        <f>IF(AQ120="1",BH120,0)</f>
        <v>0</v>
      </c>
      <c r="AC120" s="21">
        <f>IF(AQ120="1",BI120,0)</f>
        <v>0</v>
      </c>
      <c r="AD120" s="21">
        <f>IF(AQ120="7",BH120,0)</f>
        <v>0</v>
      </c>
      <c r="AE120" s="21">
        <f>IF(AQ120="7",BI120,0)</f>
        <v>0</v>
      </c>
      <c r="AF120" s="21">
        <f>IF(AQ120="2",BH120,0)</f>
        <v>0</v>
      </c>
      <c r="AG120" s="21">
        <f>IF(AQ120="2",BI120,0)</f>
        <v>0</v>
      </c>
      <c r="AH120" s="21">
        <f>IF(AQ120="0",BJ120,0)</f>
        <v>0</v>
      </c>
      <c r="AI120" s="10"/>
      <c r="AJ120" s="21">
        <f>IF(AN120=0,J120,0)</f>
        <v>0</v>
      </c>
      <c r="AK120" s="21">
        <f>IF(AN120=15,J120,0)</f>
        <v>0</v>
      </c>
      <c r="AL120" s="21">
        <f>IF(AN120=21,J120,0)</f>
        <v>0</v>
      </c>
      <c r="AN120" s="21">
        <v>21</v>
      </c>
      <c r="AO120" s="21">
        <f>G120*1</f>
        <v>0</v>
      </c>
      <c r="AP120" s="21">
        <f>G120*(1-1)</f>
        <v>0</v>
      </c>
      <c r="AQ120" s="23" t="s">
        <v>51</v>
      </c>
      <c r="AV120" s="21">
        <f>AW120+AX120</f>
        <v>0</v>
      </c>
      <c r="AW120" s="21">
        <f>F120*AO120</f>
        <v>0</v>
      </c>
      <c r="AX120" s="21">
        <f>F120*AP120</f>
        <v>0</v>
      </c>
      <c r="AY120" s="23" t="s">
        <v>190</v>
      </c>
      <c r="AZ120" s="23" t="s">
        <v>137</v>
      </c>
      <c r="BA120" s="10" t="s">
        <v>58</v>
      </c>
      <c r="BC120" s="21">
        <f>AW120+AX120</f>
        <v>0</v>
      </c>
      <c r="BD120" s="21">
        <f>G120/(100-BE120)*100</f>
        <v>0</v>
      </c>
      <c r="BE120" s="21">
        <v>0</v>
      </c>
      <c r="BF120" s="21">
        <f>L120</f>
        <v>75.9003</v>
      </c>
      <c r="BH120" s="21">
        <f>F120*AO120</f>
        <v>0</v>
      </c>
      <c r="BI120" s="21">
        <f>F120*AP120</f>
        <v>0</v>
      </c>
      <c r="BJ120" s="21">
        <f>F120*G120</f>
        <v>0</v>
      </c>
      <c r="BK120" s="21" t="s">
        <v>201</v>
      </c>
      <c r="BL120" s="21">
        <v>59</v>
      </c>
    </row>
    <row r="121" spans="1:14" ht="15">
      <c r="A121" s="2"/>
      <c r="C121" s="24" t="s">
        <v>489</v>
      </c>
      <c r="D121" s="24"/>
      <c r="F121" s="25">
        <v>384.5</v>
      </c>
      <c r="M121" s="26"/>
      <c r="N121" s="2"/>
    </row>
    <row r="122" spans="1:14" ht="15">
      <c r="A122" s="2"/>
      <c r="C122" s="24" t="s">
        <v>490</v>
      </c>
      <c r="D122" s="24"/>
      <c r="F122" s="25">
        <v>19.225</v>
      </c>
      <c r="M122" s="26"/>
      <c r="N122" s="2"/>
    </row>
    <row r="123" spans="1:64" ht="15">
      <c r="A123" s="20" t="s">
        <v>250</v>
      </c>
      <c r="B123" s="3" t="s">
        <v>491</v>
      </c>
      <c r="C123" s="618" t="s">
        <v>492</v>
      </c>
      <c r="D123" s="608"/>
      <c r="E123" s="3" t="s">
        <v>54</v>
      </c>
      <c r="F123" s="21">
        <v>9.975</v>
      </c>
      <c r="G123" s="537"/>
      <c r="H123" s="21">
        <f>F123*AO123</f>
        <v>0</v>
      </c>
      <c r="I123" s="21">
        <f>F123*AP123</f>
        <v>0</v>
      </c>
      <c r="J123" s="21">
        <f>F123*G123</f>
        <v>0</v>
      </c>
      <c r="K123" s="21">
        <v>0.176</v>
      </c>
      <c r="L123" s="21">
        <f>F123*K123</f>
        <v>1.7555999999999998</v>
      </c>
      <c r="M123" s="22" t="s">
        <v>55</v>
      </c>
      <c r="N123" s="2"/>
      <c r="Z123" s="21">
        <f>IF(AQ123="5",BJ123,0)</f>
        <v>0</v>
      </c>
      <c r="AB123" s="21">
        <f>IF(AQ123="1",BH123,0)</f>
        <v>0</v>
      </c>
      <c r="AC123" s="21">
        <f>IF(AQ123="1",BI123,0)</f>
        <v>0</v>
      </c>
      <c r="AD123" s="21">
        <f>IF(AQ123="7",BH123,0)</f>
        <v>0</v>
      </c>
      <c r="AE123" s="21">
        <f>IF(AQ123="7",BI123,0)</f>
        <v>0</v>
      </c>
      <c r="AF123" s="21">
        <f>IF(AQ123="2",BH123,0)</f>
        <v>0</v>
      </c>
      <c r="AG123" s="21">
        <f>IF(AQ123="2",BI123,0)</f>
        <v>0</v>
      </c>
      <c r="AH123" s="21">
        <f>IF(AQ123="0",BJ123,0)</f>
        <v>0</v>
      </c>
      <c r="AI123" s="10"/>
      <c r="AJ123" s="21">
        <f>IF(AN123=0,J123,0)</f>
        <v>0</v>
      </c>
      <c r="AK123" s="21">
        <f>IF(AN123=15,J123,0)</f>
        <v>0</v>
      </c>
      <c r="AL123" s="21">
        <f>IF(AN123=21,J123,0)</f>
        <v>0</v>
      </c>
      <c r="AN123" s="21">
        <v>21</v>
      </c>
      <c r="AO123" s="21">
        <f>G123*1</f>
        <v>0</v>
      </c>
      <c r="AP123" s="21">
        <f>G123*(1-1)</f>
        <v>0</v>
      </c>
      <c r="AQ123" s="23" t="s">
        <v>51</v>
      </c>
      <c r="AV123" s="21">
        <f>AW123+AX123</f>
        <v>0</v>
      </c>
      <c r="AW123" s="21">
        <f>F123*AO123</f>
        <v>0</v>
      </c>
      <c r="AX123" s="21">
        <f>F123*AP123</f>
        <v>0</v>
      </c>
      <c r="AY123" s="23" t="s">
        <v>190</v>
      </c>
      <c r="AZ123" s="23" t="s">
        <v>137</v>
      </c>
      <c r="BA123" s="10" t="s">
        <v>58</v>
      </c>
      <c r="BC123" s="21">
        <f>AW123+AX123</f>
        <v>0</v>
      </c>
      <c r="BD123" s="21">
        <f>G123/(100-BE123)*100</f>
        <v>0</v>
      </c>
      <c r="BE123" s="21">
        <v>0</v>
      </c>
      <c r="BF123" s="21">
        <f>L123</f>
        <v>1.7555999999999998</v>
      </c>
      <c r="BH123" s="21">
        <f>F123*AO123</f>
        <v>0</v>
      </c>
      <c r="BI123" s="21">
        <f>F123*AP123</f>
        <v>0</v>
      </c>
      <c r="BJ123" s="21">
        <f>F123*G123</f>
        <v>0</v>
      </c>
      <c r="BK123" s="21" t="s">
        <v>201</v>
      </c>
      <c r="BL123" s="21">
        <v>59</v>
      </c>
    </row>
    <row r="124" spans="1:14" ht="15">
      <c r="A124" s="2"/>
      <c r="C124" s="24" t="s">
        <v>493</v>
      </c>
      <c r="D124" s="24"/>
      <c r="F124" s="25">
        <v>9.5</v>
      </c>
      <c r="M124" s="26"/>
      <c r="N124" s="2"/>
    </row>
    <row r="125" spans="1:14" ht="15">
      <c r="A125" s="2"/>
      <c r="C125" s="24" t="s">
        <v>494</v>
      </c>
      <c r="D125" s="24"/>
      <c r="F125" s="25">
        <v>0.475</v>
      </c>
      <c r="M125" s="26"/>
      <c r="N125" s="2"/>
    </row>
    <row r="126" spans="1:14" ht="15">
      <c r="A126" s="2"/>
      <c r="B126" s="27" t="s">
        <v>61</v>
      </c>
      <c r="C126" s="634"/>
      <c r="D126" s="635"/>
      <c r="E126" s="635"/>
      <c r="F126" s="635"/>
      <c r="G126" s="635"/>
      <c r="H126" s="635"/>
      <c r="I126" s="635"/>
      <c r="J126" s="635"/>
      <c r="K126" s="635"/>
      <c r="L126" s="635"/>
      <c r="M126" s="636"/>
      <c r="N126" s="2"/>
    </row>
    <row r="127" spans="1:64" ht="15">
      <c r="A127" s="20" t="s">
        <v>253</v>
      </c>
      <c r="B127" s="3" t="s">
        <v>495</v>
      </c>
      <c r="C127" s="618" t="s">
        <v>496</v>
      </c>
      <c r="D127" s="608"/>
      <c r="E127" s="3" t="s">
        <v>54</v>
      </c>
      <c r="F127" s="21">
        <v>4.725</v>
      </c>
      <c r="G127" s="537"/>
      <c r="H127" s="21">
        <f>F127*AO127</f>
        <v>0</v>
      </c>
      <c r="I127" s="21">
        <f>F127*AP127</f>
        <v>0</v>
      </c>
      <c r="J127" s="21">
        <f>F127*G127</f>
        <v>0</v>
      </c>
      <c r="K127" s="21">
        <v>0.176</v>
      </c>
      <c r="L127" s="21">
        <f>F127*K127</f>
        <v>0.8315999999999999</v>
      </c>
      <c r="M127" s="22" t="s">
        <v>55</v>
      </c>
      <c r="N127" s="2"/>
      <c r="Z127" s="21">
        <f>IF(AQ127="5",BJ127,0)</f>
        <v>0</v>
      </c>
      <c r="AB127" s="21">
        <f>IF(AQ127="1",BH127,0)</f>
        <v>0</v>
      </c>
      <c r="AC127" s="21">
        <f>IF(AQ127="1",BI127,0)</f>
        <v>0</v>
      </c>
      <c r="AD127" s="21">
        <f>IF(AQ127="7",BH127,0)</f>
        <v>0</v>
      </c>
      <c r="AE127" s="21">
        <f>IF(AQ127="7",BI127,0)</f>
        <v>0</v>
      </c>
      <c r="AF127" s="21">
        <f>IF(AQ127="2",BH127,0)</f>
        <v>0</v>
      </c>
      <c r="AG127" s="21">
        <f>IF(AQ127="2",BI127,0)</f>
        <v>0</v>
      </c>
      <c r="AH127" s="21">
        <f>IF(AQ127="0",BJ127,0)</f>
        <v>0</v>
      </c>
      <c r="AI127" s="10"/>
      <c r="AJ127" s="21">
        <f>IF(AN127=0,J127,0)</f>
        <v>0</v>
      </c>
      <c r="AK127" s="21">
        <f>IF(AN127=15,J127,0)</f>
        <v>0</v>
      </c>
      <c r="AL127" s="21">
        <f>IF(AN127=21,J127,0)</f>
        <v>0</v>
      </c>
      <c r="AN127" s="21">
        <v>21</v>
      </c>
      <c r="AO127" s="21">
        <f>G127*1</f>
        <v>0</v>
      </c>
      <c r="AP127" s="21">
        <f>G127*(1-1)</f>
        <v>0</v>
      </c>
      <c r="AQ127" s="23" t="s">
        <v>51</v>
      </c>
      <c r="AV127" s="21">
        <f>AW127+AX127</f>
        <v>0</v>
      </c>
      <c r="AW127" s="21">
        <f>F127*AO127</f>
        <v>0</v>
      </c>
      <c r="AX127" s="21">
        <f>F127*AP127</f>
        <v>0</v>
      </c>
      <c r="AY127" s="23" t="s">
        <v>190</v>
      </c>
      <c r="AZ127" s="23" t="s">
        <v>137</v>
      </c>
      <c r="BA127" s="10" t="s">
        <v>58</v>
      </c>
      <c r="BC127" s="21">
        <f>AW127+AX127</f>
        <v>0</v>
      </c>
      <c r="BD127" s="21">
        <f>G127/(100-BE127)*100</f>
        <v>0</v>
      </c>
      <c r="BE127" s="21">
        <v>0</v>
      </c>
      <c r="BF127" s="21">
        <f>L127</f>
        <v>0.8315999999999999</v>
      </c>
      <c r="BH127" s="21">
        <f>F127*AO127</f>
        <v>0</v>
      </c>
      <c r="BI127" s="21">
        <f>F127*AP127</f>
        <v>0</v>
      </c>
      <c r="BJ127" s="21">
        <f>F127*G127</f>
        <v>0</v>
      </c>
      <c r="BK127" s="21" t="s">
        <v>201</v>
      </c>
      <c r="BL127" s="21">
        <v>59</v>
      </c>
    </row>
    <row r="128" spans="1:14" ht="15">
      <c r="A128" s="2"/>
      <c r="C128" s="24" t="s">
        <v>497</v>
      </c>
      <c r="D128" s="24"/>
      <c r="F128" s="25">
        <v>4.5</v>
      </c>
      <c r="M128" s="26"/>
      <c r="N128" s="2"/>
    </row>
    <row r="129" spans="1:14" ht="15">
      <c r="A129" s="2"/>
      <c r="C129" s="24" t="s">
        <v>498</v>
      </c>
      <c r="D129" s="24"/>
      <c r="F129" s="25">
        <v>0.225</v>
      </c>
      <c r="M129" s="26"/>
      <c r="N129" s="2"/>
    </row>
    <row r="130" spans="1:14" ht="15">
      <c r="A130" s="2"/>
      <c r="B130" s="27" t="s">
        <v>61</v>
      </c>
      <c r="C130" s="634" t="s">
        <v>499</v>
      </c>
      <c r="D130" s="635"/>
      <c r="E130" s="635"/>
      <c r="F130" s="635"/>
      <c r="G130" s="635"/>
      <c r="H130" s="635"/>
      <c r="I130" s="635"/>
      <c r="J130" s="635"/>
      <c r="K130" s="635"/>
      <c r="L130" s="635"/>
      <c r="M130" s="636"/>
      <c r="N130" s="2"/>
    </row>
    <row r="131" spans="1:64" ht="15">
      <c r="A131" s="20" t="s">
        <v>257</v>
      </c>
      <c r="B131" s="3" t="s">
        <v>222</v>
      </c>
      <c r="C131" s="618" t="s">
        <v>223</v>
      </c>
      <c r="D131" s="608"/>
      <c r="E131" s="3" t="s">
        <v>54</v>
      </c>
      <c r="F131" s="21">
        <v>15.5</v>
      </c>
      <c r="G131" s="537"/>
      <c r="H131" s="21">
        <f>F131*AO131</f>
        <v>0</v>
      </c>
      <c r="I131" s="21">
        <f>F131*AP131</f>
        <v>0</v>
      </c>
      <c r="J131" s="21">
        <f>F131*G131</f>
        <v>0</v>
      </c>
      <c r="K131" s="21">
        <v>0</v>
      </c>
      <c r="L131" s="21">
        <f>F131*K131</f>
        <v>0</v>
      </c>
      <c r="M131" s="22" t="s">
        <v>55</v>
      </c>
      <c r="N131" s="2"/>
      <c r="Z131" s="21">
        <f>IF(AQ131="5",BJ131,0)</f>
        <v>0</v>
      </c>
      <c r="AB131" s="21">
        <f>IF(AQ131="1",BH131,0)</f>
        <v>0</v>
      </c>
      <c r="AC131" s="21">
        <f>IF(AQ131="1",BI131,0)</f>
        <v>0</v>
      </c>
      <c r="AD131" s="21">
        <f>IF(AQ131="7",BH131,0)</f>
        <v>0</v>
      </c>
      <c r="AE131" s="21">
        <f>IF(AQ131="7",BI131,0)</f>
        <v>0</v>
      </c>
      <c r="AF131" s="21">
        <f>IF(AQ131="2",BH131,0)</f>
        <v>0</v>
      </c>
      <c r="AG131" s="21">
        <f>IF(AQ131="2",BI131,0)</f>
        <v>0</v>
      </c>
      <c r="AH131" s="21">
        <f>IF(AQ131="0",BJ131,0)</f>
        <v>0</v>
      </c>
      <c r="AI131" s="10"/>
      <c r="AJ131" s="21">
        <f>IF(AN131=0,J131,0)</f>
        <v>0</v>
      </c>
      <c r="AK131" s="21">
        <f>IF(AN131=15,J131,0)</f>
        <v>0</v>
      </c>
      <c r="AL131" s="21">
        <f>IF(AN131=21,J131,0)</f>
        <v>0</v>
      </c>
      <c r="AN131" s="21">
        <v>21</v>
      </c>
      <c r="AO131" s="21">
        <f>G131*0</f>
        <v>0</v>
      </c>
      <c r="AP131" s="21">
        <f>G131*(1-0)</f>
        <v>0</v>
      </c>
      <c r="AQ131" s="23" t="s">
        <v>51</v>
      </c>
      <c r="AV131" s="21">
        <f>AW131+AX131</f>
        <v>0</v>
      </c>
      <c r="AW131" s="21">
        <f>F131*AO131</f>
        <v>0</v>
      </c>
      <c r="AX131" s="21">
        <f>F131*AP131</f>
        <v>0</v>
      </c>
      <c r="AY131" s="23" t="s">
        <v>190</v>
      </c>
      <c r="AZ131" s="23" t="s">
        <v>137</v>
      </c>
      <c r="BA131" s="10" t="s">
        <v>58</v>
      </c>
      <c r="BC131" s="21">
        <f>AW131+AX131</f>
        <v>0</v>
      </c>
      <c r="BD131" s="21">
        <f>G131/(100-BE131)*100</f>
        <v>0</v>
      </c>
      <c r="BE131" s="21">
        <v>0</v>
      </c>
      <c r="BF131" s="21">
        <f>L131</f>
        <v>0</v>
      </c>
      <c r="BH131" s="21">
        <f>F131*AO131</f>
        <v>0</v>
      </c>
      <c r="BI131" s="21">
        <f>F131*AP131</f>
        <v>0</v>
      </c>
      <c r="BJ131" s="21">
        <f>F131*G131</f>
        <v>0</v>
      </c>
      <c r="BK131" s="21" t="s">
        <v>59</v>
      </c>
      <c r="BL131" s="21">
        <v>59</v>
      </c>
    </row>
    <row r="132" spans="1:14" ht="15">
      <c r="A132" s="2"/>
      <c r="C132" s="24" t="s">
        <v>500</v>
      </c>
      <c r="D132" s="24"/>
      <c r="F132" s="25">
        <v>15.5</v>
      </c>
      <c r="M132" s="26"/>
      <c r="N132" s="2"/>
    </row>
    <row r="133" spans="1:14" ht="15">
      <c r="A133" s="2"/>
      <c r="B133" s="27" t="s">
        <v>61</v>
      </c>
      <c r="C133" s="634" t="s">
        <v>225</v>
      </c>
      <c r="D133" s="635"/>
      <c r="E133" s="635"/>
      <c r="F133" s="635"/>
      <c r="G133" s="635"/>
      <c r="H133" s="635"/>
      <c r="I133" s="635"/>
      <c r="J133" s="635"/>
      <c r="K133" s="635"/>
      <c r="L133" s="635"/>
      <c r="M133" s="636"/>
      <c r="N133" s="2"/>
    </row>
    <row r="134" spans="1:64" ht="15">
      <c r="A134" s="20" t="s">
        <v>262</v>
      </c>
      <c r="B134" s="3" t="s">
        <v>227</v>
      </c>
      <c r="C134" s="618" t="s">
        <v>228</v>
      </c>
      <c r="D134" s="608"/>
      <c r="E134" s="3" t="s">
        <v>54</v>
      </c>
      <c r="F134" s="21">
        <v>4.5</v>
      </c>
      <c r="G134" s="537"/>
      <c r="H134" s="21">
        <f>F134*AO134</f>
        <v>0</v>
      </c>
      <c r="I134" s="21">
        <f>F134*AP134</f>
        <v>0</v>
      </c>
      <c r="J134" s="21">
        <f>F134*G134</f>
        <v>0</v>
      </c>
      <c r="K134" s="21">
        <v>0</v>
      </c>
      <c r="L134" s="21">
        <f>F134*K134</f>
        <v>0</v>
      </c>
      <c r="M134" s="22" t="s">
        <v>55</v>
      </c>
      <c r="N134" s="2"/>
      <c r="Z134" s="21">
        <f>IF(AQ134="5",BJ134,0)</f>
        <v>0</v>
      </c>
      <c r="AB134" s="21">
        <f>IF(AQ134="1",BH134,0)</f>
        <v>0</v>
      </c>
      <c r="AC134" s="21">
        <f>IF(AQ134="1",BI134,0)</f>
        <v>0</v>
      </c>
      <c r="AD134" s="21">
        <f>IF(AQ134="7",BH134,0)</f>
        <v>0</v>
      </c>
      <c r="AE134" s="21">
        <f>IF(AQ134="7",BI134,0)</f>
        <v>0</v>
      </c>
      <c r="AF134" s="21">
        <f>IF(AQ134="2",BH134,0)</f>
        <v>0</v>
      </c>
      <c r="AG134" s="21">
        <f>IF(AQ134="2",BI134,0)</f>
        <v>0</v>
      </c>
      <c r="AH134" s="21">
        <f>IF(AQ134="0",BJ134,0)</f>
        <v>0</v>
      </c>
      <c r="AI134" s="10"/>
      <c r="AJ134" s="21">
        <f>IF(AN134=0,J134,0)</f>
        <v>0</v>
      </c>
      <c r="AK134" s="21">
        <f>IF(AN134=15,J134,0)</f>
        <v>0</v>
      </c>
      <c r="AL134" s="21">
        <f>IF(AN134=21,J134,0)</f>
        <v>0</v>
      </c>
      <c r="AN134" s="21">
        <v>21</v>
      </c>
      <c r="AO134" s="21">
        <f>G134*0</f>
        <v>0</v>
      </c>
      <c r="AP134" s="21">
        <f>G134*(1-0)</f>
        <v>0</v>
      </c>
      <c r="AQ134" s="23" t="s">
        <v>51</v>
      </c>
      <c r="AV134" s="21">
        <f>AW134+AX134</f>
        <v>0</v>
      </c>
      <c r="AW134" s="21">
        <f>F134*AO134</f>
        <v>0</v>
      </c>
      <c r="AX134" s="21">
        <f>F134*AP134</f>
        <v>0</v>
      </c>
      <c r="AY134" s="23" t="s">
        <v>190</v>
      </c>
      <c r="AZ134" s="23" t="s">
        <v>137</v>
      </c>
      <c r="BA134" s="10" t="s">
        <v>58</v>
      </c>
      <c r="BC134" s="21">
        <f>AW134+AX134</f>
        <v>0</v>
      </c>
      <c r="BD134" s="21">
        <f>G134/(100-BE134)*100</f>
        <v>0</v>
      </c>
      <c r="BE134" s="21">
        <v>0</v>
      </c>
      <c r="BF134" s="21">
        <f>L134</f>
        <v>0</v>
      </c>
      <c r="BH134" s="21">
        <f>F134*AO134</f>
        <v>0</v>
      </c>
      <c r="BI134" s="21">
        <f>F134*AP134</f>
        <v>0</v>
      </c>
      <c r="BJ134" s="21">
        <f>F134*G134</f>
        <v>0</v>
      </c>
      <c r="BK134" s="21" t="s">
        <v>59</v>
      </c>
      <c r="BL134" s="21">
        <v>59</v>
      </c>
    </row>
    <row r="135" spans="1:14" ht="15">
      <c r="A135" s="2"/>
      <c r="C135" s="24" t="s">
        <v>497</v>
      </c>
      <c r="D135" s="24"/>
      <c r="F135" s="25">
        <v>4.5</v>
      </c>
      <c r="M135" s="26"/>
      <c r="N135" s="2"/>
    </row>
    <row r="136" spans="1:14" ht="15">
      <c r="A136" s="2"/>
      <c r="B136" s="27" t="s">
        <v>61</v>
      </c>
      <c r="C136" s="634" t="s">
        <v>225</v>
      </c>
      <c r="D136" s="635"/>
      <c r="E136" s="635"/>
      <c r="F136" s="635"/>
      <c r="G136" s="635"/>
      <c r="H136" s="635"/>
      <c r="I136" s="635"/>
      <c r="J136" s="635"/>
      <c r="K136" s="635"/>
      <c r="L136" s="635"/>
      <c r="M136" s="636"/>
      <c r="N136" s="2"/>
    </row>
    <row r="137" spans="1:64" ht="15">
      <c r="A137" s="20" t="s">
        <v>266</v>
      </c>
      <c r="B137" s="3" t="s">
        <v>230</v>
      </c>
      <c r="C137" s="618" t="s">
        <v>231</v>
      </c>
      <c r="D137" s="608"/>
      <c r="E137" s="3" t="s">
        <v>74</v>
      </c>
      <c r="F137" s="21">
        <v>140</v>
      </c>
      <c r="G137" s="537"/>
      <c r="H137" s="21">
        <f>F137*AO137</f>
        <v>0</v>
      </c>
      <c r="I137" s="21">
        <f>F137*AP137</f>
        <v>0</v>
      </c>
      <c r="J137" s="21">
        <f>F137*G137</f>
        <v>0</v>
      </c>
      <c r="K137" s="21">
        <v>0.00036</v>
      </c>
      <c r="L137" s="21">
        <f>F137*K137</f>
        <v>0.0504</v>
      </c>
      <c r="M137" s="22" t="s">
        <v>55</v>
      </c>
      <c r="N137" s="2"/>
      <c r="Z137" s="21">
        <f>IF(AQ137="5",BJ137,0)</f>
        <v>0</v>
      </c>
      <c r="AB137" s="21">
        <f>IF(AQ137="1",BH137,0)</f>
        <v>0</v>
      </c>
      <c r="AC137" s="21">
        <f>IF(AQ137="1",BI137,0)</f>
        <v>0</v>
      </c>
      <c r="AD137" s="21">
        <f>IF(AQ137="7",BH137,0)</f>
        <v>0</v>
      </c>
      <c r="AE137" s="21">
        <f>IF(AQ137="7",BI137,0)</f>
        <v>0</v>
      </c>
      <c r="AF137" s="21">
        <f>IF(AQ137="2",BH137,0)</f>
        <v>0</v>
      </c>
      <c r="AG137" s="21">
        <f>IF(AQ137="2",BI137,0)</f>
        <v>0</v>
      </c>
      <c r="AH137" s="21">
        <f>IF(AQ137="0",BJ137,0)</f>
        <v>0</v>
      </c>
      <c r="AI137" s="10"/>
      <c r="AJ137" s="21">
        <f>IF(AN137=0,J137,0)</f>
        <v>0</v>
      </c>
      <c r="AK137" s="21">
        <f>IF(AN137=15,J137,0)</f>
        <v>0</v>
      </c>
      <c r="AL137" s="21">
        <f>IF(AN137=21,J137,0)</f>
        <v>0</v>
      </c>
      <c r="AN137" s="21">
        <v>21</v>
      </c>
      <c r="AO137" s="21">
        <f>G137*0.0615708812260536</f>
        <v>0</v>
      </c>
      <c r="AP137" s="21">
        <f>G137*(1-0.0615708812260536)</f>
        <v>0</v>
      </c>
      <c r="AQ137" s="23" t="s">
        <v>51</v>
      </c>
      <c r="AV137" s="21">
        <f>AW137+AX137</f>
        <v>0</v>
      </c>
      <c r="AW137" s="21">
        <f>F137*AO137</f>
        <v>0</v>
      </c>
      <c r="AX137" s="21">
        <f>F137*AP137</f>
        <v>0</v>
      </c>
      <c r="AY137" s="23" t="s">
        <v>190</v>
      </c>
      <c r="AZ137" s="23" t="s">
        <v>137</v>
      </c>
      <c r="BA137" s="10" t="s">
        <v>58</v>
      </c>
      <c r="BC137" s="21">
        <f>AW137+AX137</f>
        <v>0</v>
      </c>
      <c r="BD137" s="21">
        <f>G137/(100-BE137)*100</f>
        <v>0</v>
      </c>
      <c r="BE137" s="21">
        <v>0</v>
      </c>
      <c r="BF137" s="21">
        <f>L137</f>
        <v>0.0504</v>
      </c>
      <c r="BH137" s="21">
        <f>F137*AO137</f>
        <v>0</v>
      </c>
      <c r="BI137" s="21">
        <f>F137*AP137</f>
        <v>0</v>
      </c>
      <c r="BJ137" s="21">
        <f>F137*G137</f>
        <v>0</v>
      </c>
      <c r="BK137" s="21" t="s">
        <v>59</v>
      </c>
      <c r="BL137" s="21">
        <v>59</v>
      </c>
    </row>
    <row r="138" spans="1:14" ht="15">
      <c r="A138" s="2"/>
      <c r="C138" s="24" t="s">
        <v>501</v>
      </c>
      <c r="D138" s="24"/>
      <c r="F138" s="25">
        <v>140</v>
      </c>
      <c r="M138" s="26"/>
      <c r="N138" s="2"/>
    </row>
    <row r="139" spans="1:64" ht="15">
      <c r="A139" s="20" t="s">
        <v>270</v>
      </c>
      <c r="B139" s="3" t="s">
        <v>233</v>
      </c>
      <c r="C139" s="618" t="s">
        <v>234</v>
      </c>
      <c r="D139" s="608"/>
      <c r="E139" s="3" t="s">
        <v>54</v>
      </c>
      <c r="F139" s="21">
        <v>473</v>
      </c>
      <c r="G139" s="537"/>
      <c r="H139" s="21">
        <f>F139*AO139</f>
        <v>0</v>
      </c>
      <c r="I139" s="21">
        <f>F139*AP139</f>
        <v>0</v>
      </c>
      <c r="J139" s="21">
        <f>F139*G139</f>
        <v>0</v>
      </c>
      <c r="K139" s="21">
        <v>0.0739</v>
      </c>
      <c r="L139" s="21">
        <f>F139*K139</f>
        <v>34.954699999999995</v>
      </c>
      <c r="M139" s="22" t="s">
        <v>55</v>
      </c>
      <c r="N139" s="2"/>
      <c r="Z139" s="21">
        <f>IF(AQ139="5",BJ139,0)</f>
        <v>0</v>
      </c>
      <c r="AB139" s="21">
        <f>IF(AQ139="1",BH139,0)</f>
        <v>0</v>
      </c>
      <c r="AC139" s="21">
        <f>IF(AQ139="1",BI139,0)</f>
        <v>0</v>
      </c>
      <c r="AD139" s="21">
        <f>IF(AQ139="7",BH139,0)</f>
        <v>0</v>
      </c>
      <c r="AE139" s="21">
        <f>IF(AQ139="7",BI139,0)</f>
        <v>0</v>
      </c>
      <c r="AF139" s="21">
        <f>IF(AQ139="2",BH139,0)</f>
        <v>0</v>
      </c>
      <c r="AG139" s="21">
        <f>IF(AQ139="2",BI139,0)</f>
        <v>0</v>
      </c>
      <c r="AH139" s="21">
        <f>IF(AQ139="0",BJ139,0)</f>
        <v>0</v>
      </c>
      <c r="AI139" s="10"/>
      <c r="AJ139" s="21">
        <f>IF(AN139=0,J139,0)</f>
        <v>0</v>
      </c>
      <c r="AK139" s="21">
        <f>IF(AN139=15,J139,0)</f>
        <v>0</v>
      </c>
      <c r="AL139" s="21">
        <f>IF(AN139=21,J139,0)</f>
        <v>0</v>
      </c>
      <c r="AN139" s="21">
        <v>21</v>
      </c>
      <c r="AO139" s="21">
        <f>G139*0.152280071813285</f>
        <v>0</v>
      </c>
      <c r="AP139" s="21">
        <f>G139*(1-0.152280071813285)</f>
        <v>0</v>
      </c>
      <c r="AQ139" s="23" t="s">
        <v>51</v>
      </c>
      <c r="AV139" s="21">
        <f>AW139+AX139</f>
        <v>0</v>
      </c>
      <c r="AW139" s="21">
        <f>F139*AO139</f>
        <v>0</v>
      </c>
      <c r="AX139" s="21">
        <f>F139*AP139</f>
        <v>0</v>
      </c>
      <c r="AY139" s="23" t="s">
        <v>190</v>
      </c>
      <c r="AZ139" s="23" t="s">
        <v>137</v>
      </c>
      <c r="BA139" s="10" t="s">
        <v>58</v>
      </c>
      <c r="BC139" s="21">
        <f>AW139+AX139</f>
        <v>0</v>
      </c>
      <c r="BD139" s="21">
        <f>G139/(100-BE139)*100</f>
        <v>0</v>
      </c>
      <c r="BE139" s="21">
        <v>0</v>
      </c>
      <c r="BF139" s="21">
        <f>L139</f>
        <v>34.954699999999995</v>
      </c>
      <c r="BH139" s="21">
        <f>F139*AO139</f>
        <v>0</v>
      </c>
      <c r="BI139" s="21">
        <f>F139*AP139</f>
        <v>0</v>
      </c>
      <c r="BJ139" s="21">
        <f>F139*G139</f>
        <v>0</v>
      </c>
      <c r="BK139" s="21" t="s">
        <v>59</v>
      </c>
      <c r="BL139" s="21">
        <v>59</v>
      </c>
    </row>
    <row r="140" spans="1:14" ht="15">
      <c r="A140" s="2"/>
      <c r="C140" s="24" t="s">
        <v>472</v>
      </c>
      <c r="D140" s="24"/>
      <c r="F140" s="25">
        <v>473</v>
      </c>
      <c r="M140" s="26"/>
      <c r="N140" s="2"/>
    </row>
    <row r="141" spans="1:14" ht="25.65" customHeight="1">
      <c r="A141" s="2"/>
      <c r="B141" s="27" t="s">
        <v>61</v>
      </c>
      <c r="C141" s="634" t="s">
        <v>236</v>
      </c>
      <c r="D141" s="635"/>
      <c r="E141" s="635"/>
      <c r="F141" s="635"/>
      <c r="G141" s="635"/>
      <c r="H141" s="635"/>
      <c r="I141" s="635"/>
      <c r="J141" s="635"/>
      <c r="K141" s="635"/>
      <c r="L141" s="635"/>
      <c r="M141" s="636"/>
      <c r="N141" s="2"/>
    </row>
    <row r="142" spans="1:64" ht="15">
      <c r="A142" s="20" t="s">
        <v>275</v>
      </c>
      <c r="B142" s="3" t="s">
        <v>238</v>
      </c>
      <c r="C142" s="618" t="s">
        <v>239</v>
      </c>
      <c r="D142" s="608"/>
      <c r="E142" s="3" t="s">
        <v>54</v>
      </c>
      <c r="F142" s="21">
        <v>484.05</v>
      </c>
      <c r="G142" s="537"/>
      <c r="H142" s="21">
        <f>F142*AO142</f>
        <v>0</v>
      </c>
      <c r="I142" s="21">
        <f>F142*AP142</f>
        <v>0</v>
      </c>
      <c r="J142" s="21">
        <f>F142*G142</f>
        <v>0</v>
      </c>
      <c r="K142" s="21">
        <v>0.131</v>
      </c>
      <c r="L142" s="21">
        <f>F142*K142</f>
        <v>63.41055</v>
      </c>
      <c r="M142" s="22" t="s">
        <v>55</v>
      </c>
      <c r="N142" s="2"/>
      <c r="Z142" s="21">
        <f>IF(AQ142="5",BJ142,0)</f>
        <v>0</v>
      </c>
      <c r="AB142" s="21">
        <f>IF(AQ142="1",BH142,0)</f>
        <v>0</v>
      </c>
      <c r="AC142" s="21">
        <f>IF(AQ142="1",BI142,0)</f>
        <v>0</v>
      </c>
      <c r="AD142" s="21">
        <f>IF(AQ142="7",BH142,0)</f>
        <v>0</v>
      </c>
      <c r="AE142" s="21">
        <f>IF(AQ142="7",BI142,0)</f>
        <v>0</v>
      </c>
      <c r="AF142" s="21">
        <f>IF(AQ142="2",BH142,0)</f>
        <v>0</v>
      </c>
      <c r="AG142" s="21">
        <f>IF(AQ142="2",BI142,0)</f>
        <v>0</v>
      </c>
      <c r="AH142" s="21">
        <f>IF(AQ142="0",BJ142,0)</f>
        <v>0</v>
      </c>
      <c r="AI142" s="10"/>
      <c r="AJ142" s="21">
        <f>IF(AN142=0,J142,0)</f>
        <v>0</v>
      </c>
      <c r="AK142" s="21">
        <f>IF(AN142=15,J142,0)</f>
        <v>0</v>
      </c>
      <c r="AL142" s="21">
        <f>IF(AN142=21,J142,0)</f>
        <v>0</v>
      </c>
      <c r="AN142" s="21">
        <v>21</v>
      </c>
      <c r="AO142" s="21">
        <f>G142*1</f>
        <v>0</v>
      </c>
      <c r="AP142" s="21">
        <f>G142*(1-1)</f>
        <v>0</v>
      </c>
      <c r="AQ142" s="23" t="s">
        <v>51</v>
      </c>
      <c r="AV142" s="21">
        <f>AW142+AX142</f>
        <v>0</v>
      </c>
      <c r="AW142" s="21">
        <f>F142*AO142</f>
        <v>0</v>
      </c>
      <c r="AX142" s="21">
        <f>F142*AP142</f>
        <v>0</v>
      </c>
      <c r="AY142" s="23" t="s">
        <v>190</v>
      </c>
      <c r="AZ142" s="23" t="s">
        <v>137</v>
      </c>
      <c r="BA142" s="10" t="s">
        <v>58</v>
      </c>
      <c r="BC142" s="21">
        <f>AW142+AX142</f>
        <v>0</v>
      </c>
      <c r="BD142" s="21">
        <f>G142/(100-BE142)*100</f>
        <v>0</v>
      </c>
      <c r="BE142" s="21">
        <v>0</v>
      </c>
      <c r="BF142" s="21">
        <f>L142</f>
        <v>63.41055</v>
      </c>
      <c r="BH142" s="21">
        <f>F142*AO142</f>
        <v>0</v>
      </c>
      <c r="BI142" s="21">
        <f>F142*AP142</f>
        <v>0</v>
      </c>
      <c r="BJ142" s="21">
        <f>F142*G142</f>
        <v>0</v>
      </c>
      <c r="BK142" s="21" t="s">
        <v>201</v>
      </c>
      <c r="BL142" s="21">
        <v>59</v>
      </c>
    </row>
    <row r="143" spans="1:14" ht="15">
      <c r="A143" s="2"/>
      <c r="C143" s="24" t="s">
        <v>502</v>
      </c>
      <c r="D143" s="24"/>
      <c r="F143" s="25">
        <v>461</v>
      </c>
      <c r="M143" s="26"/>
      <c r="N143" s="2"/>
    </row>
    <row r="144" spans="1:14" ht="15">
      <c r="A144" s="2"/>
      <c r="C144" s="24" t="s">
        <v>503</v>
      </c>
      <c r="D144" s="24"/>
      <c r="F144" s="25">
        <v>23.05</v>
      </c>
      <c r="M144" s="26"/>
      <c r="N144" s="2"/>
    </row>
    <row r="145" spans="1:14" ht="15">
      <c r="A145" s="2"/>
      <c r="B145" s="27" t="s">
        <v>61</v>
      </c>
      <c r="C145" s="634" t="s">
        <v>242</v>
      </c>
      <c r="D145" s="635"/>
      <c r="E145" s="635"/>
      <c r="F145" s="635"/>
      <c r="G145" s="635"/>
      <c r="H145" s="635"/>
      <c r="I145" s="635"/>
      <c r="J145" s="635"/>
      <c r="K145" s="635"/>
      <c r="L145" s="635"/>
      <c r="M145" s="636"/>
      <c r="N145" s="2"/>
    </row>
    <row r="146" spans="1:64" ht="15">
      <c r="A146" s="20" t="s">
        <v>281</v>
      </c>
      <c r="B146" s="3" t="s">
        <v>244</v>
      </c>
      <c r="C146" s="618" t="s">
        <v>245</v>
      </c>
      <c r="D146" s="608"/>
      <c r="E146" s="3" t="s">
        <v>54</v>
      </c>
      <c r="F146" s="21">
        <v>12.6</v>
      </c>
      <c r="G146" s="537"/>
      <c r="H146" s="21">
        <f>F146*AO146</f>
        <v>0</v>
      </c>
      <c r="I146" s="21">
        <f>F146*AP146</f>
        <v>0</v>
      </c>
      <c r="J146" s="21">
        <f>F146*G146</f>
        <v>0</v>
      </c>
      <c r="K146" s="21">
        <v>0.141</v>
      </c>
      <c r="L146" s="21">
        <f>F146*K146</f>
        <v>1.7765999999999997</v>
      </c>
      <c r="M146" s="22" t="s">
        <v>55</v>
      </c>
      <c r="N146" s="2"/>
      <c r="Z146" s="21">
        <f>IF(AQ146="5",BJ146,0)</f>
        <v>0</v>
      </c>
      <c r="AB146" s="21">
        <f>IF(AQ146="1",BH146,0)</f>
        <v>0</v>
      </c>
      <c r="AC146" s="21">
        <f>IF(AQ146="1",BI146,0)</f>
        <v>0</v>
      </c>
      <c r="AD146" s="21">
        <f>IF(AQ146="7",BH146,0)</f>
        <v>0</v>
      </c>
      <c r="AE146" s="21">
        <f>IF(AQ146="7",BI146,0)</f>
        <v>0</v>
      </c>
      <c r="AF146" s="21">
        <f>IF(AQ146="2",BH146,0)</f>
        <v>0</v>
      </c>
      <c r="AG146" s="21">
        <f>IF(AQ146="2",BI146,0)</f>
        <v>0</v>
      </c>
      <c r="AH146" s="21">
        <f>IF(AQ146="0",BJ146,0)</f>
        <v>0</v>
      </c>
      <c r="AI146" s="10"/>
      <c r="AJ146" s="21">
        <f>IF(AN146=0,J146,0)</f>
        <v>0</v>
      </c>
      <c r="AK146" s="21">
        <f>IF(AN146=15,J146,0)</f>
        <v>0</v>
      </c>
      <c r="AL146" s="21">
        <f>IF(AN146=21,J146,0)</f>
        <v>0</v>
      </c>
      <c r="AN146" s="21">
        <v>21</v>
      </c>
      <c r="AO146" s="21">
        <f>G146*1</f>
        <v>0</v>
      </c>
      <c r="AP146" s="21">
        <f>G146*(1-1)</f>
        <v>0</v>
      </c>
      <c r="AQ146" s="23" t="s">
        <v>51</v>
      </c>
      <c r="AV146" s="21">
        <f>AW146+AX146</f>
        <v>0</v>
      </c>
      <c r="AW146" s="21">
        <f>F146*AO146</f>
        <v>0</v>
      </c>
      <c r="AX146" s="21">
        <f>F146*AP146</f>
        <v>0</v>
      </c>
      <c r="AY146" s="23" t="s">
        <v>190</v>
      </c>
      <c r="AZ146" s="23" t="s">
        <v>137</v>
      </c>
      <c r="BA146" s="10" t="s">
        <v>58</v>
      </c>
      <c r="BC146" s="21">
        <f>AW146+AX146</f>
        <v>0</v>
      </c>
      <c r="BD146" s="21">
        <f>G146/(100-BE146)*100</f>
        <v>0</v>
      </c>
      <c r="BE146" s="21">
        <v>0</v>
      </c>
      <c r="BF146" s="21">
        <f>L146</f>
        <v>1.7765999999999997</v>
      </c>
      <c r="BH146" s="21">
        <f>F146*AO146</f>
        <v>0</v>
      </c>
      <c r="BI146" s="21">
        <f>F146*AP146</f>
        <v>0</v>
      </c>
      <c r="BJ146" s="21">
        <f>F146*G146</f>
        <v>0</v>
      </c>
      <c r="BK146" s="21" t="s">
        <v>201</v>
      </c>
      <c r="BL146" s="21">
        <v>59</v>
      </c>
    </row>
    <row r="147" spans="1:14" ht="15">
      <c r="A147" s="2"/>
      <c r="C147" s="24" t="s">
        <v>76</v>
      </c>
      <c r="D147" s="24"/>
      <c r="F147" s="25">
        <v>12</v>
      </c>
      <c r="M147" s="26"/>
      <c r="N147" s="2"/>
    </row>
    <row r="148" spans="1:14" ht="15">
      <c r="A148" s="2"/>
      <c r="C148" s="24" t="s">
        <v>504</v>
      </c>
      <c r="D148" s="24"/>
      <c r="F148" s="25">
        <v>0.6</v>
      </c>
      <c r="M148" s="26"/>
      <c r="N148" s="2"/>
    </row>
    <row r="149" spans="1:64" ht="15">
      <c r="A149" s="20" t="s">
        <v>290</v>
      </c>
      <c r="B149" s="3" t="s">
        <v>248</v>
      </c>
      <c r="C149" s="618" t="s">
        <v>249</v>
      </c>
      <c r="D149" s="608"/>
      <c r="E149" s="3" t="s">
        <v>54</v>
      </c>
      <c r="F149" s="21">
        <v>12</v>
      </c>
      <c r="G149" s="537"/>
      <c r="H149" s="21">
        <f>F149*AO149</f>
        <v>0</v>
      </c>
      <c r="I149" s="21">
        <f>F149*AP149</f>
        <v>0</v>
      </c>
      <c r="J149" s="21">
        <f>F149*G149</f>
        <v>0</v>
      </c>
      <c r="K149" s="21">
        <v>0</v>
      </c>
      <c r="L149" s="21">
        <f>F149*K149</f>
        <v>0</v>
      </c>
      <c r="M149" s="22" t="s">
        <v>55</v>
      </c>
      <c r="N149" s="2"/>
      <c r="Z149" s="21">
        <f>IF(AQ149="5",BJ149,0)</f>
        <v>0</v>
      </c>
      <c r="AB149" s="21">
        <f>IF(AQ149="1",BH149,0)</f>
        <v>0</v>
      </c>
      <c r="AC149" s="21">
        <f>IF(AQ149="1",BI149,0)</f>
        <v>0</v>
      </c>
      <c r="AD149" s="21">
        <f>IF(AQ149="7",BH149,0)</f>
        <v>0</v>
      </c>
      <c r="AE149" s="21">
        <f>IF(AQ149="7",BI149,0)</f>
        <v>0</v>
      </c>
      <c r="AF149" s="21">
        <f>IF(AQ149="2",BH149,0)</f>
        <v>0</v>
      </c>
      <c r="AG149" s="21">
        <f>IF(AQ149="2",BI149,0)</f>
        <v>0</v>
      </c>
      <c r="AH149" s="21">
        <f>IF(AQ149="0",BJ149,0)</f>
        <v>0</v>
      </c>
      <c r="AI149" s="10"/>
      <c r="AJ149" s="21">
        <f>IF(AN149=0,J149,0)</f>
        <v>0</v>
      </c>
      <c r="AK149" s="21">
        <f>IF(AN149=15,J149,0)</f>
        <v>0</v>
      </c>
      <c r="AL149" s="21">
        <f>IF(AN149=21,J149,0)</f>
        <v>0</v>
      </c>
      <c r="AN149" s="21">
        <v>21</v>
      </c>
      <c r="AO149" s="21">
        <f>G149*0</f>
        <v>0</v>
      </c>
      <c r="AP149" s="21">
        <f>G149*(1-0)</f>
        <v>0</v>
      </c>
      <c r="AQ149" s="23" t="s">
        <v>51</v>
      </c>
      <c r="AV149" s="21">
        <f>AW149+AX149</f>
        <v>0</v>
      </c>
      <c r="AW149" s="21">
        <f>F149*AO149</f>
        <v>0</v>
      </c>
      <c r="AX149" s="21">
        <f>F149*AP149</f>
        <v>0</v>
      </c>
      <c r="AY149" s="23" t="s">
        <v>190</v>
      </c>
      <c r="AZ149" s="23" t="s">
        <v>137</v>
      </c>
      <c r="BA149" s="10" t="s">
        <v>58</v>
      </c>
      <c r="BC149" s="21">
        <f>AW149+AX149</f>
        <v>0</v>
      </c>
      <c r="BD149" s="21">
        <f>G149/(100-BE149)*100</f>
        <v>0</v>
      </c>
      <c r="BE149" s="21">
        <v>0</v>
      </c>
      <c r="BF149" s="21">
        <f>L149</f>
        <v>0</v>
      </c>
      <c r="BH149" s="21">
        <f>F149*AO149</f>
        <v>0</v>
      </c>
      <c r="BI149" s="21">
        <f>F149*AP149</f>
        <v>0</v>
      </c>
      <c r="BJ149" s="21">
        <f>F149*G149</f>
        <v>0</v>
      </c>
      <c r="BK149" s="21" t="s">
        <v>59</v>
      </c>
      <c r="BL149" s="21">
        <v>59</v>
      </c>
    </row>
    <row r="150" spans="1:14" ht="15">
      <c r="A150" s="2"/>
      <c r="C150" s="24" t="s">
        <v>76</v>
      </c>
      <c r="D150" s="24"/>
      <c r="F150" s="25">
        <v>12</v>
      </c>
      <c r="M150" s="26"/>
      <c r="N150" s="2"/>
    </row>
    <row r="151" spans="1:14" ht="15">
      <c r="A151" s="2"/>
      <c r="B151" s="27" t="s">
        <v>61</v>
      </c>
      <c r="C151" s="634" t="s">
        <v>225</v>
      </c>
      <c r="D151" s="635"/>
      <c r="E151" s="635"/>
      <c r="F151" s="635"/>
      <c r="G151" s="635"/>
      <c r="H151" s="635"/>
      <c r="I151" s="635"/>
      <c r="J151" s="635"/>
      <c r="K151" s="635"/>
      <c r="L151" s="635"/>
      <c r="M151" s="636"/>
      <c r="N151" s="2"/>
    </row>
    <row r="152" spans="1:64" ht="15">
      <c r="A152" s="20" t="s">
        <v>296</v>
      </c>
      <c r="B152" s="3" t="s">
        <v>251</v>
      </c>
      <c r="C152" s="618" t="s">
        <v>252</v>
      </c>
      <c r="D152" s="608"/>
      <c r="E152" s="3" t="s">
        <v>54</v>
      </c>
      <c r="F152" s="21">
        <v>12</v>
      </c>
      <c r="G152" s="537"/>
      <c r="H152" s="21">
        <f>F152*AO152</f>
        <v>0</v>
      </c>
      <c r="I152" s="21">
        <f>F152*AP152</f>
        <v>0</v>
      </c>
      <c r="J152" s="21">
        <f>F152*G152</f>
        <v>0</v>
      </c>
      <c r="K152" s="21">
        <v>0</v>
      </c>
      <c r="L152" s="21">
        <f>F152*K152</f>
        <v>0</v>
      </c>
      <c r="M152" s="22" t="s">
        <v>55</v>
      </c>
      <c r="N152" s="2"/>
      <c r="Z152" s="21">
        <f>IF(AQ152="5",BJ152,0)</f>
        <v>0</v>
      </c>
      <c r="AB152" s="21">
        <f>IF(AQ152="1",BH152,0)</f>
        <v>0</v>
      </c>
      <c r="AC152" s="21">
        <f>IF(AQ152="1",BI152,0)</f>
        <v>0</v>
      </c>
      <c r="AD152" s="21">
        <f>IF(AQ152="7",BH152,0)</f>
        <v>0</v>
      </c>
      <c r="AE152" s="21">
        <f>IF(AQ152="7",BI152,0)</f>
        <v>0</v>
      </c>
      <c r="AF152" s="21">
        <f>IF(AQ152="2",BH152,0)</f>
        <v>0</v>
      </c>
      <c r="AG152" s="21">
        <f>IF(AQ152="2",BI152,0)</f>
        <v>0</v>
      </c>
      <c r="AH152" s="21">
        <f>IF(AQ152="0",BJ152,0)</f>
        <v>0</v>
      </c>
      <c r="AI152" s="10"/>
      <c r="AJ152" s="21">
        <f>IF(AN152=0,J152,0)</f>
        <v>0</v>
      </c>
      <c r="AK152" s="21">
        <f>IF(AN152=15,J152,0)</f>
        <v>0</v>
      </c>
      <c r="AL152" s="21">
        <f>IF(AN152=21,J152,0)</f>
        <v>0</v>
      </c>
      <c r="AN152" s="21">
        <v>21</v>
      </c>
      <c r="AO152" s="21">
        <f>G152*0</f>
        <v>0</v>
      </c>
      <c r="AP152" s="21">
        <f>G152*(1-0)</f>
        <v>0</v>
      </c>
      <c r="AQ152" s="23" t="s">
        <v>51</v>
      </c>
      <c r="AV152" s="21">
        <f>AW152+AX152</f>
        <v>0</v>
      </c>
      <c r="AW152" s="21">
        <f>F152*AO152</f>
        <v>0</v>
      </c>
      <c r="AX152" s="21">
        <f>F152*AP152</f>
        <v>0</v>
      </c>
      <c r="AY152" s="23" t="s">
        <v>190</v>
      </c>
      <c r="AZ152" s="23" t="s">
        <v>137</v>
      </c>
      <c r="BA152" s="10" t="s">
        <v>58</v>
      </c>
      <c r="BC152" s="21">
        <f>AW152+AX152</f>
        <v>0</v>
      </c>
      <c r="BD152" s="21">
        <f>G152/(100-BE152)*100</f>
        <v>0</v>
      </c>
      <c r="BE152" s="21">
        <v>0</v>
      </c>
      <c r="BF152" s="21">
        <f>L152</f>
        <v>0</v>
      </c>
      <c r="BH152" s="21">
        <f>F152*AO152</f>
        <v>0</v>
      </c>
      <c r="BI152" s="21">
        <f>F152*AP152</f>
        <v>0</v>
      </c>
      <c r="BJ152" s="21">
        <f>F152*G152</f>
        <v>0</v>
      </c>
      <c r="BK152" s="21" t="s">
        <v>59</v>
      </c>
      <c r="BL152" s="21">
        <v>59</v>
      </c>
    </row>
    <row r="153" spans="1:14" ht="15">
      <c r="A153" s="2"/>
      <c r="C153" s="24" t="s">
        <v>76</v>
      </c>
      <c r="D153" s="24"/>
      <c r="F153" s="25">
        <v>12</v>
      </c>
      <c r="M153" s="26"/>
      <c r="N153" s="2"/>
    </row>
    <row r="154" spans="1:14" ht="15">
      <c r="A154" s="2"/>
      <c r="B154" s="27" t="s">
        <v>61</v>
      </c>
      <c r="C154" s="634" t="s">
        <v>225</v>
      </c>
      <c r="D154" s="635"/>
      <c r="E154" s="635"/>
      <c r="F154" s="635"/>
      <c r="G154" s="635"/>
      <c r="H154" s="635"/>
      <c r="I154" s="635"/>
      <c r="J154" s="635"/>
      <c r="K154" s="635"/>
      <c r="L154" s="635"/>
      <c r="M154" s="636"/>
      <c r="N154" s="2"/>
    </row>
    <row r="155" spans="1:64" ht="15">
      <c r="A155" s="20" t="s">
        <v>305</v>
      </c>
      <c r="B155" s="3" t="s">
        <v>254</v>
      </c>
      <c r="C155" s="618" t="s">
        <v>255</v>
      </c>
      <c r="D155" s="608"/>
      <c r="E155" s="3" t="s">
        <v>74</v>
      </c>
      <c r="F155" s="21">
        <v>220</v>
      </c>
      <c r="G155" s="537"/>
      <c r="H155" s="21">
        <f>F155*AO155</f>
        <v>0</v>
      </c>
      <c r="I155" s="21">
        <f>F155*AP155</f>
        <v>0</v>
      </c>
      <c r="J155" s="21">
        <f>F155*G155</f>
        <v>0</v>
      </c>
      <c r="K155" s="21">
        <v>0.00033</v>
      </c>
      <c r="L155" s="21">
        <f>F155*K155</f>
        <v>0.0726</v>
      </c>
      <c r="M155" s="22" t="s">
        <v>55</v>
      </c>
      <c r="N155" s="2"/>
      <c r="Z155" s="21">
        <f>IF(AQ155="5",BJ155,0)</f>
        <v>0</v>
      </c>
      <c r="AB155" s="21">
        <f>IF(AQ155="1",BH155,0)</f>
        <v>0</v>
      </c>
      <c r="AC155" s="21">
        <f>IF(AQ155="1",BI155,0)</f>
        <v>0</v>
      </c>
      <c r="AD155" s="21">
        <f>IF(AQ155="7",BH155,0)</f>
        <v>0</v>
      </c>
      <c r="AE155" s="21">
        <f>IF(AQ155="7",BI155,0)</f>
        <v>0</v>
      </c>
      <c r="AF155" s="21">
        <f>IF(AQ155="2",BH155,0)</f>
        <v>0</v>
      </c>
      <c r="AG155" s="21">
        <f>IF(AQ155="2",BI155,0)</f>
        <v>0</v>
      </c>
      <c r="AH155" s="21">
        <f>IF(AQ155="0",BJ155,0)</f>
        <v>0</v>
      </c>
      <c r="AI155" s="10"/>
      <c r="AJ155" s="21">
        <f>IF(AN155=0,J155,0)</f>
        <v>0</v>
      </c>
      <c r="AK155" s="21">
        <f>IF(AN155=15,J155,0)</f>
        <v>0</v>
      </c>
      <c r="AL155" s="21">
        <f>IF(AN155=21,J155,0)</f>
        <v>0</v>
      </c>
      <c r="AN155" s="21">
        <v>21</v>
      </c>
      <c r="AO155" s="21">
        <f>G155*0.0594343434343434</f>
        <v>0</v>
      </c>
      <c r="AP155" s="21">
        <f>G155*(1-0.0594343434343434)</f>
        <v>0</v>
      </c>
      <c r="AQ155" s="23" t="s">
        <v>51</v>
      </c>
      <c r="AV155" s="21">
        <f>AW155+AX155</f>
        <v>0</v>
      </c>
      <c r="AW155" s="21">
        <f>F155*AO155</f>
        <v>0</v>
      </c>
      <c r="AX155" s="21">
        <f>F155*AP155</f>
        <v>0</v>
      </c>
      <c r="AY155" s="23" t="s">
        <v>190</v>
      </c>
      <c r="AZ155" s="23" t="s">
        <v>137</v>
      </c>
      <c r="BA155" s="10" t="s">
        <v>58</v>
      </c>
      <c r="BC155" s="21">
        <f>AW155+AX155</f>
        <v>0</v>
      </c>
      <c r="BD155" s="21">
        <f>G155/(100-BE155)*100</f>
        <v>0</v>
      </c>
      <c r="BE155" s="21">
        <v>0</v>
      </c>
      <c r="BF155" s="21">
        <f>L155</f>
        <v>0.0726</v>
      </c>
      <c r="BH155" s="21">
        <f>F155*AO155</f>
        <v>0</v>
      </c>
      <c r="BI155" s="21">
        <f>F155*AP155</f>
        <v>0</v>
      </c>
      <c r="BJ155" s="21">
        <f>F155*G155</f>
        <v>0</v>
      </c>
      <c r="BK155" s="21" t="s">
        <v>59</v>
      </c>
      <c r="BL155" s="21">
        <v>59</v>
      </c>
    </row>
    <row r="156" spans="1:14" ht="15">
      <c r="A156" s="2"/>
      <c r="C156" s="24" t="s">
        <v>505</v>
      </c>
      <c r="D156" s="24"/>
      <c r="F156" s="25">
        <v>220</v>
      </c>
      <c r="M156" s="26"/>
      <c r="N156" s="2"/>
    </row>
    <row r="157" spans="1:47" ht="15">
      <c r="A157" s="41"/>
      <c r="B157" s="42" t="s">
        <v>288</v>
      </c>
      <c r="C157" s="637" t="s">
        <v>289</v>
      </c>
      <c r="D157" s="638"/>
      <c r="E157" s="43" t="s">
        <v>4</v>
      </c>
      <c r="F157" s="43" t="s">
        <v>4</v>
      </c>
      <c r="G157" s="43" t="s">
        <v>4</v>
      </c>
      <c r="H157" s="44">
        <f>SUM(H158:H176)</f>
        <v>0</v>
      </c>
      <c r="I157" s="44">
        <f>SUM(I158:I176)</f>
        <v>0</v>
      </c>
      <c r="J157" s="44">
        <f>SUM(J158:J176)</f>
        <v>0</v>
      </c>
      <c r="K157" s="45"/>
      <c r="L157" s="44">
        <f>SUM(L158:L176)</f>
        <v>4.36024</v>
      </c>
      <c r="M157" s="46"/>
      <c r="N157" s="2"/>
      <c r="AI157" s="10"/>
      <c r="AS157" s="19">
        <f>SUM(AJ158:AJ176)</f>
        <v>0</v>
      </c>
      <c r="AT157" s="19">
        <f>SUM(AK158:AK176)</f>
        <v>0</v>
      </c>
      <c r="AU157" s="19">
        <f>SUM(AL158:AL176)</f>
        <v>0</v>
      </c>
    </row>
    <row r="158" spans="1:64" ht="15">
      <c r="A158" s="20" t="s">
        <v>232</v>
      </c>
      <c r="B158" s="3" t="s">
        <v>506</v>
      </c>
      <c r="C158" s="618" t="s">
        <v>507</v>
      </c>
      <c r="D158" s="608"/>
      <c r="E158" s="3" t="s">
        <v>260</v>
      </c>
      <c r="F158" s="21">
        <v>2</v>
      </c>
      <c r="G158" s="537"/>
      <c r="H158" s="21">
        <f>F158*AO158</f>
        <v>0</v>
      </c>
      <c r="I158" s="21">
        <f>F158*AP158</f>
        <v>0</v>
      </c>
      <c r="J158" s="21">
        <f>F158*G158</f>
        <v>0</v>
      </c>
      <c r="K158" s="21">
        <v>0.14494</v>
      </c>
      <c r="L158" s="21">
        <f>F158*K158</f>
        <v>0.28988</v>
      </c>
      <c r="M158" s="22" t="s">
        <v>55</v>
      </c>
      <c r="N158" s="2"/>
      <c r="Z158" s="21">
        <f>IF(AQ158="5",BJ158,0)</f>
        <v>0</v>
      </c>
      <c r="AB158" s="21">
        <f>IF(AQ158="1",BH158,0)</f>
        <v>0</v>
      </c>
      <c r="AC158" s="21">
        <f>IF(AQ158="1",BI158,0)</f>
        <v>0</v>
      </c>
      <c r="AD158" s="21">
        <f>IF(AQ158="7",BH158,0)</f>
        <v>0</v>
      </c>
      <c r="AE158" s="21">
        <f>IF(AQ158="7",BI158,0)</f>
        <v>0</v>
      </c>
      <c r="AF158" s="21">
        <f>IF(AQ158="2",BH158,0)</f>
        <v>0</v>
      </c>
      <c r="AG158" s="21">
        <f>IF(AQ158="2",BI158,0)</f>
        <v>0</v>
      </c>
      <c r="AH158" s="21">
        <f>IF(AQ158="0",BJ158,0)</f>
        <v>0</v>
      </c>
      <c r="AI158" s="10"/>
      <c r="AJ158" s="21">
        <f>IF(AN158=0,J158,0)</f>
        <v>0</v>
      </c>
      <c r="AK158" s="21">
        <f>IF(AN158=15,J158,0)</f>
        <v>0</v>
      </c>
      <c r="AL158" s="21">
        <f>IF(AN158=21,J158,0)</f>
        <v>0</v>
      </c>
      <c r="AN158" s="21">
        <v>21</v>
      </c>
      <c r="AO158" s="21">
        <f>G158*0.0510002170222001</f>
        <v>0</v>
      </c>
      <c r="AP158" s="21">
        <f>G158*(1-0.0510002170222001)</f>
        <v>0</v>
      </c>
      <c r="AQ158" s="23" t="s">
        <v>51</v>
      </c>
      <c r="AV158" s="21">
        <f>AW158+AX158</f>
        <v>0</v>
      </c>
      <c r="AW158" s="21">
        <f>F158*AO158</f>
        <v>0</v>
      </c>
      <c r="AX158" s="21">
        <f>F158*AP158</f>
        <v>0</v>
      </c>
      <c r="AY158" s="23" t="s">
        <v>293</v>
      </c>
      <c r="AZ158" s="23" t="s">
        <v>285</v>
      </c>
      <c r="BA158" s="10" t="s">
        <v>58</v>
      </c>
      <c r="BC158" s="21">
        <f>AW158+AX158</f>
        <v>0</v>
      </c>
      <c r="BD158" s="21">
        <f>G158/(100-BE158)*100</f>
        <v>0</v>
      </c>
      <c r="BE158" s="21">
        <v>0</v>
      </c>
      <c r="BF158" s="21">
        <f>L158</f>
        <v>0.28988</v>
      </c>
      <c r="BH158" s="21">
        <f>F158*AO158</f>
        <v>0</v>
      </c>
      <c r="BI158" s="21">
        <f>F158*AP158</f>
        <v>0</v>
      </c>
      <c r="BJ158" s="21">
        <f>F158*G158</f>
        <v>0</v>
      </c>
      <c r="BK158" s="21" t="s">
        <v>59</v>
      </c>
      <c r="BL158" s="21">
        <v>89</v>
      </c>
    </row>
    <row r="159" spans="1:14" ht="15">
      <c r="A159" s="2"/>
      <c r="C159" s="24" t="s">
        <v>63</v>
      </c>
      <c r="D159" s="24"/>
      <c r="F159" s="25">
        <v>2</v>
      </c>
      <c r="M159" s="26"/>
      <c r="N159" s="2"/>
    </row>
    <row r="160" spans="1:14" ht="38.7" customHeight="1">
      <c r="A160" s="2"/>
      <c r="B160" s="27" t="s">
        <v>61</v>
      </c>
      <c r="C160" s="634" t="s">
        <v>508</v>
      </c>
      <c r="D160" s="635"/>
      <c r="E160" s="635"/>
      <c r="F160" s="635"/>
      <c r="G160" s="635"/>
      <c r="H160" s="635"/>
      <c r="I160" s="635"/>
      <c r="J160" s="635"/>
      <c r="K160" s="635"/>
      <c r="L160" s="635"/>
      <c r="M160" s="636"/>
      <c r="N160" s="2"/>
    </row>
    <row r="161" spans="1:64" ht="15">
      <c r="A161" s="20" t="s">
        <v>315</v>
      </c>
      <c r="B161" s="3" t="s">
        <v>509</v>
      </c>
      <c r="C161" s="618" t="s">
        <v>510</v>
      </c>
      <c r="D161" s="608"/>
      <c r="E161" s="3" t="s">
        <v>260</v>
      </c>
      <c r="F161" s="21">
        <v>2</v>
      </c>
      <c r="G161" s="537"/>
      <c r="H161" s="21">
        <f>F161*AO161</f>
        <v>0</v>
      </c>
      <c r="I161" s="21">
        <f>F161*AP161</f>
        <v>0</v>
      </c>
      <c r="J161" s="21">
        <f>F161*G161</f>
        <v>0</v>
      </c>
      <c r="K161" s="21">
        <v>0.17</v>
      </c>
      <c r="L161" s="21">
        <f>F161*K161</f>
        <v>0.34</v>
      </c>
      <c r="M161" s="22" t="s">
        <v>55</v>
      </c>
      <c r="N161" s="2"/>
      <c r="Z161" s="21">
        <f>IF(AQ161="5",BJ161,0)</f>
        <v>0</v>
      </c>
      <c r="AB161" s="21">
        <f>IF(AQ161="1",BH161,0)</f>
        <v>0</v>
      </c>
      <c r="AC161" s="21">
        <f>IF(AQ161="1",BI161,0)</f>
        <v>0</v>
      </c>
      <c r="AD161" s="21">
        <f>IF(AQ161="7",BH161,0)</f>
        <v>0</v>
      </c>
      <c r="AE161" s="21">
        <f>IF(AQ161="7",BI161,0)</f>
        <v>0</v>
      </c>
      <c r="AF161" s="21">
        <f>IF(AQ161="2",BH161,0)</f>
        <v>0</v>
      </c>
      <c r="AG161" s="21">
        <f>IF(AQ161="2",BI161,0)</f>
        <v>0</v>
      </c>
      <c r="AH161" s="21">
        <f>IF(AQ161="0",BJ161,0)</f>
        <v>0</v>
      </c>
      <c r="AI161" s="10"/>
      <c r="AJ161" s="21">
        <f>IF(AN161=0,J161,0)</f>
        <v>0</v>
      </c>
      <c r="AK161" s="21">
        <f>IF(AN161=15,J161,0)</f>
        <v>0</v>
      </c>
      <c r="AL161" s="21">
        <f>IF(AN161=21,J161,0)</f>
        <v>0</v>
      </c>
      <c r="AN161" s="21">
        <v>21</v>
      </c>
      <c r="AO161" s="21">
        <f>G161*1</f>
        <v>0</v>
      </c>
      <c r="AP161" s="21">
        <f>G161*(1-1)</f>
        <v>0</v>
      </c>
      <c r="AQ161" s="23" t="s">
        <v>51</v>
      </c>
      <c r="AV161" s="21">
        <f>AW161+AX161</f>
        <v>0</v>
      </c>
      <c r="AW161" s="21">
        <f>F161*AO161</f>
        <v>0</v>
      </c>
      <c r="AX161" s="21">
        <f>F161*AP161</f>
        <v>0</v>
      </c>
      <c r="AY161" s="23" t="s">
        <v>293</v>
      </c>
      <c r="AZ161" s="23" t="s">
        <v>285</v>
      </c>
      <c r="BA161" s="10" t="s">
        <v>58</v>
      </c>
      <c r="BC161" s="21">
        <f>AW161+AX161</f>
        <v>0</v>
      </c>
      <c r="BD161" s="21">
        <f>G161/(100-BE161)*100</f>
        <v>0</v>
      </c>
      <c r="BE161" s="21">
        <v>0</v>
      </c>
      <c r="BF161" s="21">
        <f>L161</f>
        <v>0.34</v>
      </c>
      <c r="BH161" s="21">
        <f>F161*AO161</f>
        <v>0</v>
      </c>
      <c r="BI161" s="21">
        <f>F161*AP161</f>
        <v>0</v>
      </c>
      <c r="BJ161" s="21">
        <f>F161*G161</f>
        <v>0</v>
      </c>
      <c r="BK161" s="21" t="s">
        <v>201</v>
      </c>
      <c r="BL161" s="21">
        <v>89</v>
      </c>
    </row>
    <row r="162" spans="1:14" ht="15">
      <c r="A162" s="2"/>
      <c r="C162" s="24" t="s">
        <v>63</v>
      </c>
      <c r="D162" s="24"/>
      <c r="F162" s="25">
        <v>2</v>
      </c>
      <c r="M162" s="26"/>
      <c r="N162" s="2"/>
    </row>
    <row r="163" spans="1:64" ht="15">
      <c r="A163" s="20" t="s">
        <v>319</v>
      </c>
      <c r="B163" s="3" t="s">
        <v>511</v>
      </c>
      <c r="C163" s="618" t="s">
        <v>512</v>
      </c>
      <c r="D163" s="608"/>
      <c r="E163" s="3" t="s">
        <v>260</v>
      </c>
      <c r="F163" s="21">
        <v>4</v>
      </c>
      <c r="G163" s="537"/>
      <c r="H163" s="21">
        <f>F163*AO163</f>
        <v>0</v>
      </c>
      <c r="I163" s="21">
        <f>F163*AP163</f>
        <v>0</v>
      </c>
      <c r="J163" s="21">
        <f>F163*G163</f>
        <v>0</v>
      </c>
      <c r="K163" s="21">
        <v>0.076</v>
      </c>
      <c r="L163" s="21">
        <f>F163*K163</f>
        <v>0.304</v>
      </c>
      <c r="M163" s="22" t="s">
        <v>55</v>
      </c>
      <c r="N163" s="2"/>
      <c r="Z163" s="21">
        <f>IF(AQ163="5",BJ163,0)</f>
        <v>0</v>
      </c>
      <c r="AB163" s="21">
        <f>IF(AQ163="1",BH163,0)</f>
        <v>0</v>
      </c>
      <c r="AC163" s="21">
        <f>IF(AQ163="1",BI163,0)</f>
        <v>0</v>
      </c>
      <c r="AD163" s="21">
        <f>IF(AQ163="7",BH163,0)</f>
        <v>0</v>
      </c>
      <c r="AE163" s="21">
        <f>IF(AQ163="7",BI163,0)</f>
        <v>0</v>
      </c>
      <c r="AF163" s="21">
        <f>IF(AQ163="2",BH163,0)</f>
        <v>0</v>
      </c>
      <c r="AG163" s="21">
        <f>IF(AQ163="2",BI163,0)</f>
        <v>0</v>
      </c>
      <c r="AH163" s="21">
        <f>IF(AQ163="0",BJ163,0)</f>
        <v>0</v>
      </c>
      <c r="AI163" s="10"/>
      <c r="AJ163" s="21">
        <f>IF(AN163=0,J163,0)</f>
        <v>0</v>
      </c>
      <c r="AK163" s="21">
        <f>IF(AN163=15,J163,0)</f>
        <v>0</v>
      </c>
      <c r="AL163" s="21">
        <f>IF(AN163=21,J163,0)</f>
        <v>0</v>
      </c>
      <c r="AN163" s="21">
        <v>21</v>
      </c>
      <c r="AO163" s="21">
        <f>G163*1</f>
        <v>0</v>
      </c>
      <c r="AP163" s="21">
        <f>G163*(1-1)</f>
        <v>0</v>
      </c>
      <c r="AQ163" s="23" t="s">
        <v>51</v>
      </c>
      <c r="AV163" s="21">
        <f>AW163+AX163</f>
        <v>0</v>
      </c>
      <c r="AW163" s="21">
        <f>F163*AO163</f>
        <v>0</v>
      </c>
      <c r="AX163" s="21">
        <f>F163*AP163</f>
        <v>0</v>
      </c>
      <c r="AY163" s="23" t="s">
        <v>293</v>
      </c>
      <c r="AZ163" s="23" t="s">
        <v>285</v>
      </c>
      <c r="BA163" s="10" t="s">
        <v>58</v>
      </c>
      <c r="BC163" s="21">
        <f>AW163+AX163</f>
        <v>0</v>
      </c>
      <c r="BD163" s="21">
        <f>G163/(100-BE163)*100</f>
        <v>0</v>
      </c>
      <c r="BE163" s="21">
        <v>0</v>
      </c>
      <c r="BF163" s="21">
        <f>L163</f>
        <v>0.304</v>
      </c>
      <c r="BH163" s="21">
        <f>F163*AO163</f>
        <v>0</v>
      </c>
      <c r="BI163" s="21">
        <f>F163*AP163</f>
        <v>0</v>
      </c>
      <c r="BJ163" s="21">
        <f>F163*G163</f>
        <v>0</v>
      </c>
      <c r="BK163" s="21" t="s">
        <v>201</v>
      </c>
      <c r="BL163" s="21">
        <v>89</v>
      </c>
    </row>
    <row r="164" spans="1:14" ht="15">
      <c r="A164" s="2"/>
      <c r="C164" s="24" t="s">
        <v>71</v>
      </c>
      <c r="D164" s="24"/>
      <c r="F164" s="25">
        <v>4</v>
      </c>
      <c r="M164" s="26"/>
      <c r="N164" s="2"/>
    </row>
    <row r="165" spans="1:64" ht="15">
      <c r="A165" s="20" t="s">
        <v>322</v>
      </c>
      <c r="B165" s="3" t="s">
        <v>513</v>
      </c>
      <c r="C165" s="618" t="s">
        <v>514</v>
      </c>
      <c r="D165" s="608"/>
      <c r="E165" s="3" t="s">
        <v>260</v>
      </c>
      <c r="F165" s="21">
        <v>2</v>
      </c>
      <c r="G165" s="537"/>
      <c r="H165" s="21">
        <f>F165*AO165</f>
        <v>0</v>
      </c>
      <c r="I165" s="21">
        <f>F165*AP165</f>
        <v>0</v>
      </c>
      <c r="J165" s="21">
        <f>F165*G165</f>
        <v>0</v>
      </c>
      <c r="K165" s="21">
        <v>0.07</v>
      </c>
      <c r="L165" s="21">
        <f>F165*K165</f>
        <v>0.14</v>
      </c>
      <c r="M165" s="22" t="s">
        <v>55</v>
      </c>
      <c r="N165" s="2"/>
      <c r="Z165" s="21">
        <f>IF(AQ165="5",BJ165,0)</f>
        <v>0</v>
      </c>
      <c r="AB165" s="21">
        <f>IF(AQ165="1",BH165,0)</f>
        <v>0</v>
      </c>
      <c r="AC165" s="21">
        <f>IF(AQ165="1",BI165,0)</f>
        <v>0</v>
      </c>
      <c r="AD165" s="21">
        <f>IF(AQ165="7",BH165,0)</f>
        <v>0</v>
      </c>
      <c r="AE165" s="21">
        <f>IF(AQ165="7",BI165,0)</f>
        <v>0</v>
      </c>
      <c r="AF165" s="21">
        <f>IF(AQ165="2",BH165,0)</f>
        <v>0</v>
      </c>
      <c r="AG165" s="21">
        <f>IF(AQ165="2",BI165,0)</f>
        <v>0</v>
      </c>
      <c r="AH165" s="21">
        <f>IF(AQ165="0",BJ165,0)</f>
        <v>0</v>
      </c>
      <c r="AI165" s="10"/>
      <c r="AJ165" s="21">
        <f>IF(AN165=0,J165,0)</f>
        <v>0</v>
      </c>
      <c r="AK165" s="21">
        <f>IF(AN165=15,J165,0)</f>
        <v>0</v>
      </c>
      <c r="AL165" s="21">
        <f>IF(AN165=21,J165,0)</f>
        <v>0</v>
      </c>
      <c r="AN165" s="21">
        <v>21</v>
      </c>
      <c r="AO165" s="21">
        <f>G165*1</f>
        <v>0</v>
      </c>
      <c r="AP165" s="21">
        <f>G165*(1-1)</f>
        <v>0</v>
      </c>
      <c r="AQ165" s="23" t="s">
        <v>51</v>
      </c>
      <c r="AV165" s="21">
        <f>AW165+AX165</f>
        <v>0</v>
      </c>
      <c r="AW165" s="21">
        <f>F165*AO165</f>
        <v>0</v>
      </c>
      <c r="AX165" s="21">
        <f>F165*AP165</f>
        <v>0</v>
      </c>
      <c r="AY165" s="23" t="s">
        <v>293</v>
      </c>
      <c r="AZ165" s="23" t="s">
        <v>285</v>
      </c>
      <c r="BA165" s="10" t="s">
        <v>58</v>
      </c>
      <c r="BC165" s="21">
        <f>AW165+AX165</f>
        <v>0</v>
      </c>
      <c r="BD165" s="21">
        <f>G165/(100-BE165)*100</f>
        <v>0</v>
      </c>
      <c r="BE165" s="21">
        <v>0</v>
      </c>
      <c r="BF165" s="21">
        <f>L165</f>
        <v>0.14</v>
      </c>
      <c r="BH165" s="21">
        <f>F165*AO165</f>
        <v>0</v>
      </c>
      <c r="BI165" s="21">
        <f>F165*AP165</f>
        <v>0</v>
      </c>
      <c r="BJ165" s="21">
        <f>F165*G165</f>
        <v>0</v>
      </c>
      <c r="BK165" s="21" t="s">
        <v>201</v>
      </c>
      <c r="BL165" s="21">
        <v>89</v>
      </c>
    </row>
    <row r="166" spans="1:14" ht="15">
      <c r="A166" s="2"/>
      <c r="C166" s="24" t="s">
        <v>63</v>
      </c>
      <c r="D166" s="24"/>
      <c r="F166" s="25">
        <v>2</v>
      </c>
      <c r="M166" s="26"/>
      <c r="N166" s="2"/>
    </row>
    <row r="167" spans="1:64" ht="15">
      <c r="A167" s="20" t="s">
        <v>325</v>
      </c>
      <c r="B167" s="3" t="s">
        <v>515</v>
      </c>
      <c r="C167" s="618" t="s">
        <v>516</v>
      </c>
      <c r="D167" s="608"/>
      <c r="E167" s="3" t="s">
        <v>260</v>
      </c>
      <c r="F167" s="21">
        <v>2</v>
      </c>
      <c r="G167" s="537"/>
      <c r="H167" s="21">
        <f>F167*AO167</f>
        <v>0</v>
      </c>
      <c r="I167" s="21">
        <f>F167*AP167</f>
        <v>0</v>
      </c>
      <c r="J167" s="21">
        <f>F167*G167</f>
        <v>0</v>
      </c>
      <c r="K167" s="21">
        <v>0.023</v>
      </c>
      <c r="L167" s="21">
        <f>F167*K167</f>
        <v>0.046</v>
      </c>
      <c r="M167" s="22" t="s">
        <v>55</v>
      </c>
      <c r="N167" s="2"/>
      <c r="Z167" s="21">
        <f>IF(AQ167="5",BJ167,0)</f>
        <v>0</v>
      </c>
      <c r="AB167" s="21">
        <f>IF(AQ167="1",BH167,0)</f>
        <v>0</v>
      </c>
      <c r="AC167" s="21">
        <f>IF(AQ167="1",BI167,0)</f>
        <v>0</v>
      </c>
      <c r="AD167" s="21">
        <f>IF(AQ167="7",BH167,0)</f>
        <v>0</v>
      </c>
      <c r="AE167" s="21">
        <f>IF(AQ167="7",BI167,0)</f>
        <v>0</v>
      </c>
      <c r="AF167" s="21">
        <f>IF(AQ167="2",BH167,0)</f>
        <v>0</v>
      </c>
      <c r="AG167" s="21">
        <f>IF(AQ167="2",BI167,0)</f>
        <v>0</v>
      </c>
      <c r="AH167" s="21">
        <f>IF(AQ167="0",BJ167,0)</f>
        <v>0</v>
      </c>
      <c r="AI167" s="10"/>
      <c r="AJ167" s="21">
        <f>IF(AN167=0,J167,0)</f>
        <v>0</v>
      </c>
      <c r="AK167" s="21">
        <f>IF(AN167=15,J167,0)</f>
        <v>0</v>
      </c>
      <c r="AL167" s="21">
        <f>IF(AN167=21,J167,0)</f>
        <v>0</v>
      </c>
      <c r="AN167" s="21">
        <v>21</v>
      </c>
      <c r="AO167" s="21">
        <f>G167*1</f>
        <v>0</v>
      </c>
      <c r="AP167" s="21">
        <f>G167*(1-1)</f>
        <v>0</v>
      </c>
      <c r="AQ167" s="23" t="s">
        <v>51</v>
      </c>
      <c r="AV167" s="21">
        <f>AW167+AX167</f>
        <v>0</v>
      </c>
      <c r="AW167" s="21">
        <f>F167*AO167</f>
        <v>0</v>
      </c>
      <c r="AX167" s="21">
        <f>F167*AP167</f>
        <v>0</v>
      </c>
      <c r="AY167" s="23" t="s">
        <v>293</v>
      </c>
      <c r="AZ167" s="23" t="s">
        <v>285</v>
      </c>
      <c r="BA167" s="10" t="s">
        <v>58</v>
      </c>
      <c r="BC167" s="21">
        <f>AW167+AX167</f>
        <v>0</v>
      </c>
      <c r="BD167" s="21">
        <f>G167/(100-BE167)*100</f>
        <v>0</v>
      </c>
      <c r="BE167" s="21">
        <v>0</v>
      </c>
      <c r="BF167" s="21">
        <f>L167</f>
        <v>0.046</v>
      </c>
      <c r="BH167" s="21">
        <f>F167*AO167</f>
        <v>0</v>
      </c>
      <c r="BI167" s="21">
        <f>F167*AP167</f>
        <v>0</v>
      </c>
      <c r="BJ167" s="21">
        <f>F167*G167</f>
        <v>0</v>
      </c>
      <c r="BK167" s="21" t="s">
        <v>201</v>
      </c>
      <c r="BL167" s="21">
        <v>89</v>
      </c>
    </row>
    <row r="168" spans="1:14" ht="15">
      <c r="A168" s="2"/>
      <c r="C168" s="24" t="s">
        <v>63</v>
      </c>
      <c r="D168" s="24"/>
      <c r="F168" s="25">
        <v>2</v>
      </c>
      <c r="M168" s="26"/>
      <c r="N168" s="2"/>
    </row>
    <row r="169" spans="1:64" ht="15">
      <c r="A169" s="20" t="s">
        <v>328</v>
      </c>
      <c r="B169" s="3" t="s">
        <v>517</v>
      </c>
      <c r="C169" s="618" t="s">
        <v>2476</v>
      </c>
      <c r="D169" s="608"/>
      <c r="E169" s="3" t="s">
        <v>260</v>
      </c>
      <c r="F169" s="21">
        <v>2</v>
      </c>
      <c r="G169" s="537"/>
      <c r="H169" s="21">
        <f>F169*AO169</f>
        <v>0</v>
      </c>
      <c r="I169" s="21">
        <f>F169*AP169</f>
        <v>0</v>
      </c>
      <c r="J169" s="21">
        <f>F169*G169</f>
        <v>0</v>
      </c>
      <c r="K169" s="21">
        <v>0.28</v>
      </c>
      <c r="L169" s="21">
        <f>F169*K169</f>
        <v>0.56</v>
      </c>
      <c r="M169" s="22" t="s">
        <v>55</v>
      </c>
      <c r="N169" s="2"/>
      <c r="Z169" s="21">
        <f>IF(AQ169="5",BJ169,0)</f>
        <v>0</v>
      </c>
      <c r="AB169" s="21">
        <f>IF(AQ169="1",BH169,0)</f>
        <v>0</v>
      </c>
      <c r="AC169" s="21">
        <f>IF(AQ169="1",BI169,0)</f>
        <v>0</v>
      </c>
      <c r="AD169" s="21">
        <f>IF(AQ169="7",BH169,0)</f>
        <v>0</v>
      </c>
      <c r="AE169" s="21">
        <f>IF(AQ169="7",BI169,0)</f>
        <v>0</v>
      </c>
      <c r="AF169" s="21">
        <f>IF(AQ169="2",BH169,0)</f>
        <v>0</v>
      </c>
      <c r="AG169" s="21">
        <f>IF(AQ169="2",BI169,0)</f>
        <v>0</v>
      </c>
      <c r="AH169" s="21">
        <f>IF(AQ169="0",BJ169,0)</f>
        <v>0</v>
      </c>
      <c r="AI169" s="10"/>
      <c r="AJ169" s="21">
        <f>IF(AN169=0,J169,0)</f>
        <v>0</v>
      </c>
      <c r="AK169" s="21">
        <f>IF(AN169=15,J169,0)</f>
        <v>0</v>
      </c>
      <c r="AL169" s="21">
        <f>IF(AN169=21,J169,0)</f>
        <v>0</v>
      </c>
      <c r="AN169" s="21">
        <v>21</v>
      </c>
      <c r="AO169" s="21">
        <f>G169*1</f>
        <v>0</v>
      </c>
      <c r="AP169" s="21">
        <f>G169*(1-1)</f>
        <v>0</v>
      </c>
      <c r="AQ169" s="23" t="s">
        <v>51</v>
      </c>
      <c r="AV169" s="21">
        <f>AW169+AX169</f>
        <v>0</v>
      </c>
      <c r="AW169" s="21">
        <f>F169*AO169</f>
        <v>0</v>
      </c>
      <c r="AX169" s="21">
        <f>F169*AP169</f>
        <v>0</v>
      </c>
      <c r="AY169" s="23" t="s">
        <v>293</v>
      </c>
      <c r="AZ169" s="23" t="s">
        <v>285</v>
      </c>
      <c r="BA169" s="10" t="s">
        <v>58</v>
      </c>
      <c r="BC169" s="21">
        <f>AW169+AX169</f>
        <v>0</v>
      </c>
      <c r="BD169" s="21">
        <f>G169/(100-BE169)*100</f>
        <v>0</v>
      </c>
      <c r="BE169" s="21">
        <v>0</v>
      </c>
      <c r="BF169" s="21">
        <f>L169</f>
        <v>0.56</v>
      </c>
      <c r="BH169" s="21">
        <f>F169*AO169</f>
        <v>0</v>
      </c>
      <c r="BI169" s="21">
        <f>F169*AP169</f>
        <v>0</v>
      </c>
      <c r="BJ169" s="21">
        <f>F169*G169</f>
        <v>0</v>
      </c>
      <c r="BK169" s="21" t="s">
        <v>201</v>
      </c>
      <c r="BL169" s="21">
        <v>89</v>
      </c>
    </row>
    <row r="170" spans="1:14" ht="15">
      <c r="A170" s="2"/>
      <c r="C170" s="24" t="s">
        <v>63</v>
      </c>
      <c r="D170" s="24"/>
      <c r="F170" s="25">
        <v>2</v>
      </c>
      <c r="M170" s="26"/>
      <c r="N170" s="2"/>
    </row>
    <row r="171" spans="1:64" ht="15">
      <c r="A171" s="20" t="s">
        <v>132</v>
      </c>
      <c r="B171" s="3" t="s">
        <v>518</v>
      </c>
      <c r="C171" s="618" t="s">
        <v>519</v>
      </c>
      <c r="D171" s="608"/>
      <c r="E171" s="3" t="s">
        <v>260</v>
      </c>
      <c r="F171" s="21">
        <v>2</v>
      </c>
      <c r="G171" s="537"/>
      <c r="H171" s="21">
        <f>F171*AO171</f>
        <v>0</v>
      </c>
      <c r="I171" s="21">
        <f>F171*AP171</f>
        <v>0</v>
      </c>
      <c r="J171" s="21">
        <f>F171*G171</f>
        <v>0</v>
      </c>
      <c r="K171" s="21">
        <v>0.00936</v>
      </c>
      <c r="L171" s="21">
        <f>F171*K171</f>
        <v>0.01872</v>
      </c>
      <c r="M171" s="22" t="s">
        <v>55</v>
      </c>
      <c r="N171" s="2"/>
      <c r="Z171" s="21">
        <f>IF(AQ171="5",BJ171,0)</f>
        <v>0</v>
      </c>
      <c r="AB171" s="21">
        <f>IF(AQ171="1",BH171,0)</f>
        <v>0</v>
      </c>
      <c r="AC171" s="21">
        <f>IF(AQ171="1",BI171,0)</f>
        <v>0</v>
      </c>
      <c r="AD171" s="21">
        <f>IF(AQ171="7",BH171,0)</f>
        <v>0</v>
      </c>
      <c r="AE171" s="21">
        <f>IF(AQ171="7",BI171,0)</f>
        <v>0</v>
      </c>
      <c r="AF171" s="21">
        <f>IF(AQ171="2",BH171,0)</f>
        <v>0</v>
      </c>
      <c r="AG171" s="21">
        <f>IF(AQ171="2",BI171,0)</f>
        <v>0</v>
      </c>
      <c r="AH171" s="21">
        <f>IF(AQ171="0",BJ171,0)</f>
        <v>0</v>
      </c>
      <c r="AI171" s="10"/>
      <c r="AJ171" s="21">
        <f>IF(AN171=0,J171,0)</f>
        <v>0</v>
      </c>
      <c r="AK171" s="21">
        <f>IF(AN171=15,J171,0)</f>
        <v>0</v>
      </c>
      <c r="AL171" s="21">
        <f>IF(AN171=21,J171,0)</f>
        <v>0</v>
      </c>
      <c r="AN171" s="21">
        <v>21</v>
      </c>
      <c r="AO171" s="21">
        <f>G171*0.0118234134959461</f>
        <v>0</v>
      </c>
      <c r="AP171" s="21">
        <f>G171*(1-0.0118234134959461)</f>
        <v>0</v>
      </c>
      <c r="AQ171" s="23" t="s">
        <v>51</v>
      </c>
      <c r="AV171" s="21">
        <f>AW171+AX171</f>
        <v>0</v>
      </c>
      <c r="AW171" s="21">
        <f>F171*AO171</f>
        <v>0</v>
      </c>
      <c r="AX171" s="21">
        <f>F171*AP171</f>
        <v>0</v>
      </c>
      <c r="AY171" s="23" t="s">
        <v>293</v>
      </c>
      <c r="AZ171" s="23" t="s">
        <v>285</v>
      </c>
      <c r="BA171" s="10" t="s">
        <v>58</v>
      </c>
      <c r="BC171" s="21">
        <f>AW171+AX171</f>
        <v>0</v>
      </c>
      <c r="BD171" s="21">
        <f>G171/(100-BE171)*100</f>
        <v>0</v>
      </c>
      <c r="BE171" s="21">
        <v>0</v>
      </c>
      <c r="BF171" s="21">
        <f>L171</f>
        <v>0.01872</v>
      </c>
      <c r="BH171" s="21">
        <f>F171*AO171</f>
        <v>0</v>
      </c>
      <c r="BI171" s="21">
        <f>F171*AP171</f>
        <v>0</v>
      </c>
      <c r="BJ171" s="21">
        <f>F171*G171</f>
        <v>0</v>
      </c>
      <c r="BK171" s="21" t="s">
        <v>59</v>
      </c>
      <c r="BL171" s="21">
        <v>89</v>
      </c>
    </row>
    <row r="172" spans="1:14" ht="15">
      <c r="A172" s="2"/>
      <c r="C172" s="24" t="s">
        <v>63</v>
      </c>
      <c r="D172" s="24"/>
      <c r="F172" s="25">
        <v>2</v>
      </c>
      <c r="M172" s="26"/>
      <c r="N172" s="2"/>
    </row>
    <row r="173" spans="1:14" ht="25.65" customHeight="1">
      <c r="A173" s="2"/>
      <c r="B173" s="27" t="s">
        <v>61</v>
      </c>
      <c r="C173" s="634" t="s">
        <v>520</v>
      </c>
      <c r="D173" s="635"/>
      <c r="E173" s="635"/>
      <c r="F173" s="635"/>
      <c r="G173" s="635"/>
      <c r="H173" s="635"/>
      <c r="I173" s="635"/>
      <c r="J173" s="635"/>
      <c r="K173" s="635"/>
      <c r="L173" s="635"/>
      <c r="M173" s="636"/>
      <c r="N173" s="2"/>
    </row>
    <row r="174" spans="1:64" ht="15">
      <c r="A174" s="20" t="s">
        <v>175</v>
      </c>
      <c r="B174" s="3" t="s">
        <v>521</v>
      </c>
      <c r="C174" s="618" t="s">
        <v>522</v>
      </c>
      <c r="D174" s="608"/>
      <c r="E174" s="3" t="s">
        <v>260</v>
      </c>
      <c r="F174" s="21">
        <v>2</v>
      </c>
      <c r="G174" s="537"/>
      <c r="H174" s="21">
        <f>F174*AO174</f>
        <v>0</v>
      </c>
      <c r="I174" s="21">
        <f>F174*AP174</f>
        <v>0</v>
      </c>
      <c r="J174" s="21">
        <f>F174*G174</f>
        <v>0</v>
      </c>
      <c r="K174" s="21">
        <v>0.038</v>
      </c>
      <c r="L174" s="21">
        <f>F174*K174</f>
        <v>0.076</v>
      </c>
      <c r="M174" s="539" t="s">
        <v>2130</v>
      </c>
      <c r="N174" s="2"/>
      <c r="Z174" s="21">
        <f>IF(AQ174="5",BJ174,0)</f>
        <v>0</v>
      </c>
      <c r="AB174" s="21">
        <f>IF(AQ174="1",BH174,0)</f>
        <v>0</v>
      </c>
      <c r="AC174" s="21">
        <f>IF(AQ174="1",BI174,0)</f>
        <v>0</v>
      </c>
      <c r="AD174" s="21">
        <f>IF(AQ174="7",BH174,0)</f>
        <v>0</v>
      </c>
      <c r="AE174" s="21">
        <f>IF(AQ174="7",BI174,0)</f>
        <v>0</v>
      </c>
      <c r="AF174" s="21">
        <f>IF(AQ174="2",BH174,0)</f>
        <v>0</v>
      </c>
      <c r="AG174" s="21">
        <f>IF(AQ174="2",BI174,0)</f>
        <v>0</v>
      </c>
      <c r="AH174" s="21">
        <f>IF(AQ174="0",BJ174,0)</f>
        <v>0</v>
      </c>
      <c r="AI174" s="10"/>
      <c r="AJ174" s="21">
        <f>IF(AN174=0,J174,0)</f>
        <v>0</v>
      </c>
      <c r="AK174" s="21">
        <f>IF(AN174=15,J174,0)</f>
        <v>0</v>
      </c>
      <c r="AL174" s="21">
        <f>IF(AN174=21,J174,0)</f>
        <v>0</v>
      </c>
      <c r="AN174" s="21">
        <v>21</v>
      </c>
      <c r="AO174" s="21">
        <f>G174*1</f>
        <v>0</v>
      </c>
      <c r="AP174" s="21">
        <f>G174*(1-1)</f>
        <v>0</v>
      </c>
      <c r="AQ174" s="23" t="s">
        <v>51</v>
      </c>
      <c r="AV174" s="21">
        <f>AW174+AX174</f>
        <v>0</v>
      </c>
      <c r="AW174" s="21">
        <f>F174*AO174</f>
        <v>0</v>
      </c>
      <c r="AX174" s="21">
        <f>F174*AP174</f>
        <v>0</v>
      </c>
      <c r="AY174" s="23" t="s">
        <v>293</v>
      </c>
      <c r="AZ174" s="23" t="s">
        <v>285</v>
      </c>
      <c r="BA174" s="10" t="s">
        <v>58</v>
      </c>
      <c r="BC174" s="21">
        <f>AW174+AX174</f>
        <v>0</v>
      </c>
      <c r="BD174" s="21">
        <f>G174/(100-BE174)*100</f>
        <v>0</v>
      </c>
      <c r="BE174" s="21">
        <v>0</v>
      </c>
      <c r="BF174" s="21">
        <f>L174</f>
        <v>0.076</v>
      </c>
      <c r="BH174" s="21">
        <f>F174*AO174</f>
        <v>0</v>
      </c>
      <c r="BI174" s="21">
        <f>F174*AP174</f>
        <v>0</v>
      </c>
      <c r="BJ174" s="21">
        <f>F174*G174</f>
        <v>0</v>
      </c>
      <c r="BK174" s="21" t="s">
        <v>201</v>
      </c>
      <c r="BL174" s="21">
        <v>89</v>
      </c>
    </row>
    <row r="175" spans="1:14" ht="15">
      <c r="A175" s="2"/>
      <c r="C175" s="24" t="s">
        <v>63</v>
      </c>
      <c r="D175" s="24"/>
      <c r="F175" s="25">
        <v>2</v>
      </c>
      <c r="M175" s="26"/>
      <c r="N175" s="2"/>
    </row>
    <row r="176" spans="1:64" ht="15">
      <c r="A176" s="20" t="s">
        <v>341</v>
      </c>
      <c r="B176" s="3" t="s">
        <v>291</v>
      </c>
      <c r="C176" s="618" t="s">
        <v>292</v>
      </c>
      <c r="D176" s="608"/>
      <c r="E176" s="3" t="s">
        <v>260</v>
      </c>
      <c r="F176" s="21">
        <v>6</v>
      </c>
      <c r="G176" s="537"/>
      <c r="H176" s="21">
        <f>F176*AO176</f>
        <v>0</v>
      </c>
      <c r="I176" s="21">
        <f>F176*AP176</f>
        <v>0</v>
      </c>
      <c r="J176" s="21">
        <f>F176*G176</f>
        <v>0</v>
      </c>
      <c r="K176" s="21">
        <v>0.43094</v>
      </c>
      <c r="L176" s="21">
        <f>F176*K176</f>
        <v>2.5856399999999997</v>
      </c>
      <c r="M176" s="22" t="s">
        <v>55</v>
      </c>
      <c r="N176" s="2"/>
      <c r="Z176" s="21">
        <f>IF(AQ176="5",BJ176,0)</f>
        <v>0</v>
      </c>
      <c r="AB176" s="21">
        <f>IF(AQ176="1",BH176,0)</f>
        <v>0</v>
      </c>
      <c r="AC176" s="21">
        <f>IF(AQ176="1",BI176,0)</f>
        <v>0</v>
      </c>
      <c r="AD176" s="21">
        <f>IF(AQ176="7",BH176,0)</f>
        <v>0</v>
      </c>
      <c r="AE176" s="21">
        <f>IF(AQ176="7",BI176,0)</f>
        <v>0</v>
      </c>
      <c r="AF176" s="21">
        <f>IF(AQ176="2",BH176,0)</f>
        <v>0</v>
      </c>
      <c r="AG176" s="21">
        <f>IF(AQ176="2",BI176,0)</f>
        <v>0</v>
      </c>
      <c r="AH176" s="21">
        <f>IF(AQ176="0",BJ176,0)</f>
        <v>0</v>
      </c>
      <c r="AI176" s="10"/>
      <c r="AJ176" s="21">
        <f>IF(AN176=0,J176,0)</f>
        <v>0</v>
      </c>
      <c r="AK176" s="21">
        <f>IF(AN176=15,J176,0)</f>
        <v>0</v>
      </c>
      <c r="AL176" s="21">
        <f>IF(AN176=21,J176,0)</f>
        <v>0</v>
      </c>
      <c r="AN176" s="21">
        <v>21</v>
      </c>
      <c r="AO176" s="21">
        <f>G176*0.302344</f>
        <v>0</v>
      </c>
      <c r="AP176" s="21">
        <f>G176*(1-0.302344)</f>
        <v>0</v>
      </c>
      <c r="AQ176" s="23" t="s">
        <v>51</v>
      </c>
      <c r="AV176" s="21">
        <f>AW176+AX176</f>
        <v>0</v>
      </c>
      <c r="AW176" s="21">
        <f>F176*AO176</f>
        <v>0</v>
      </c>
      <c r="AX176" s="21">
        <f>F176*AP176</f>
        <v>0</v>
      </c>
      <c r="AY176" s="23" t="s">
        <v>293</v>
      </c>
      <c r="AZ176" s="23" t="s">
        <v>285</v>
      </c>
      <c r="BA176" s="10" t="s">
        <v>58</v>
      </c>
      <c r="BC176" s="21">
        <f>AW176+AX176</f>
        <v>0</v>
      </c>
      <c r="BD176" s="21">
        <f>G176/(100-BE176)*100</f>
        <v>0</v>
      </c>
      <c r="BE176" s="21">
        <v>0</v>
      </c>
      <c r="BF176" s="21">
        <f>L176</f>
        <v>2.5856399999999997</v>
      </c>
      <c r="BH176" s="21">
        <f>F176*AO176</f>
        <v>0</v>
      </c>
      <c r="BI176" s="21">
        <f>F176*AP176</f>
        <v>0</v>
      </c>
      <c r="BJ176" s="21">
        <f>F176*G176</f>
        <v>0</v>
      </c>
      <c r="BK176" s="21" t="s">
        <v>59</v>
      </c>
      <c r="BL176" s="21">
        <v>89</v>
      </c>
    </row>
    <row r="177" spans="1:14" ht="15">
      <c r="A177" s="2"/>
      <c r="C177" s="24" t="s">
        <v>85</v>
      </c>
      <c r="D177" s="24"/>
      <c r="F177" s="25">
        <v>6</v>
      </c>
      <c r="M177" s="26"/>
      <c r="N177" s="2"/>
    </row>
    <row r="178" spans="1:47" ht="15">
      <c r="A178" s="41"/>
      <c r="B178" s="42" t="s">
        <v>294</v>
      </c>
      <c r="C178" s="637" t="s">
        <v>295</v>
      </c>
      <c r="D178" s="638"/>
      <c r="E178" s="43" t="s">
        <v>4</v>
      </c>
      <c r="F178" s="43" t="s">
        <v>4</v>
      </c>
      <c r="G178" s="43" t="s">
        <v>4</v>
      </c>
      <c r="H178" s="44">
        <f>SUM(H179:H240)</f>
        <v>0</v>
      </c>
      <c r="I178" s="44">
        <f>SUM(I179:I240)</f>
        <v>0</v>
      </c>
      <c r="J178" s="44">
        <f>SUM(J179:J240)</f>
        <v>0</v>
      </c>
      <c r="K178" s="45"/>
      <c r="L178" s="44">
        <f>SUM(L179:L240)</f>
        <v>242.63566999999998</v>
      </c>
      <c r="M178" s="46"/>
      <c r="N178" s="2"/>
      <c r="AI178" s="10"/>
      <c r="AS178" s="19">
        <f>SUM(AJ179:AJ240)</f>
        <v>0</v>
      </c>
      <c r="AT178" s="19">
        <f>SUM(AK179:AK240)</f>
        <v>0</v>
      </c>
      <c r="AU178" s="19">
        <f>SUM(AL179:AL240)</f>
        <v>0</v>
      </c>
    </row>
    <row r="179" spans="1:64" ht="15">
      <c r="A179" s="20" t="s">
        <v>185</v>
      </c>
      <c r="B179" s="3" t="s">
        <v>297</v>
      </c>
      <c r="C179" s="618" t="s">
        <v>298</v>
      </c>
      <c r="D179" s="608"/>
      <c r="E179" s="3" t="s">
        <v>74</v>
      </c>
      <c r="F179" s="21">
        <v>963</v>
      </c>
      <c r="G179" s="537"/>
      <c r="H179" s="21">
        <f>F179*AO179</f>
        <v>0</v>
      </c>
      <c r="I179" s="21">
        <f>F179*AP179</f>
        <v>0</v>
      </c>
      <c r="J179" s="21">
        <f>F179*G179</f>
        <v>0</v>
      </c>
      <c r="K179" s="21">
        <v>0.188</v>
      </c>
      <c r="L179" s="21">
        <f>F179*K179</f>
        <v>181.044</v>
      </c>
      <c r="M179" s="22" t="s">
        <v>55</v>
      </c>
      <c r="N179" s="2"/>
      <c r="Z179" s="21">
        <f>IF(AQ179="5",BJ179,0)</f>
        <v>0</v>
      </c>
      <c r="AB179" s="21">
        <f>IF(AQ179="1",BH179,0)</f>
        <v>0</v>
      </c>
      <c r="AC179" s="21">
        <f>IF(AQ179="1",BI179,0)</f>
        <v>0</v>
      </c>
      <c r="AD179" s="21">
        <f>IF(AQ179="7",BH179,0)</f>
        <v>0</v>
      </c>
      <c r="AE179" s="21">
        <f>IF(AQ179="7",BI179,0)</f>
        <v>0</v>
      </c>
      <c r="AF179" s="21">
        <f>IF(AQ179="2",BH179,0)</f>
        <v>0</v>
      </c>
      <c r="AG179" s="21">
        <f>IF(AQ179="2",BI179,0)</f>
        <v>0</v>
      </c>
      <c r="AH179" s="21">
        <f>IF(AQ179="0",BJ179,0)</f>
        <v>0</v>
      </c>
      <c r="AI179" s="10"/>
      <c r="AJ179" s="21">
        <f>IF(AN179=0,J179,0)</f>
        <v>0</v>
      </c>
      <c r="AK179" s="21">
        <f>IF(AN179=15,J179,0)</f>
        <v>0</v>
      </c>
      <c r="AL179" s="21">
        <f>IF(AN179=21,J179,0)</f>
        <v>0</v>
      </c>
      <c r="AN179" s="21">
        <v>21</v>
      </c>
      <c r="AO179" s="21">
        <f>G179*0.559380097879282</f>
        <v>0</v>
      </c>
      <c r="AP179" s="21">
        <f>G179*(1-0.559380097879282)</f>
        <v>0</v>
      </c>
      <c r="AQ179" s="23" t="s">
        <v>51</v>
      </c>
      <c r="AV179" s="21">
        <f>AW179+AX179</f>
        <v>0</v>
      </c>
      <c r="AW179" s="21">
        <f>F179*AO179</f>
        <v>0</v>
      </c>
      <c r="AX179" s="21">
        <f>F179*AP179</f>
        <v>0</v>
      </c>
      <c r="AY179" s="23" t="s">
        <v>299</v>
      </c>
      <c r="AZ179" s="23" t="s">
        <v>300</v>
      </c>
      <c r="BA179" s="10" t="s">
        <v>58</v>
      </c>
      <c r="BC179" s="21">
        <f>AW179+AX179</f>
        <v>0</v>
      </c>
      <c r="BD179" s="21">
        <f>G179/(100-BE179)*100</f>
        <v>0</v>
      </c>
      <c r="BE179" s="21">
        <v>0</v>
      </c>
      <c r="BF179" s="21">
        <f>L179</f>
        <v>181.044</v>
      </c>
      <c r="BH179" s="21">
        <f>F179*AO179</f>
        <v>0</v>
      </c>
      <c r="BI179" s="21">
        <f>F179*AP179</f>
        <v>0</v>
      </c>
      <c r="BJ179" s="21">
        <f>F179*G179</f>
        <v>0</v>
      </c>
      <c r="BK179" s="21" t="s">
        <v>59</v>
      </c>
      <c r="BL179" s="21">
        <v>91</v>
      </c>
    </row>
    <row r="180" spans="1:14" ht="15">
      <c r="A180" s="2"/>
      <c r="C180" s="24" t="s">
        <v>523</v>
      </c>
      <c r="D180" s="24"/>
      <c r="F180" s="25">
        <v>963</v>
      </c>
      <c r="M180" s="26"/>
      <c r="N180" s="2"/>
    </row>
    <row r="181" spans="1:14" ht="15">
      <c r="A181" s="2"/>
      <c r="B181" s="27" t="s">
        <v>61</v>
      </c>
      <c r="C181" s="634" t="s">
        <v>304</v>
      </c>
      <c r="D181" s="635"/>
      <c r="E181" s="635"/>
      <c r="F181" s="635"/>
      <c r="G181" s="635"/>
      <c r="H181" s="635"/>
      <c r="I181" s="635"/>
      <c r="J181" s="635"/>
      <c r="K181" s="635"/>
      <c r="L181" s="635"/>
      <c r="M181" s="636"/>
      <c r="N181" s="2"/>
    </row>
    <row r="182" spans="1:64" ht="15">
      <c r="A182" s="20" t="s">
        <v>348</v>
      </c>
      <c r="B182" s="3" t="s">
        <v>306</v>
      </c>
      <c r="C182" s="618" t="s">
        <v>307</v>
      </c>
      <c r="D182" s="608"/>
      <c r="E182" s="3" t="s">
        <v>260</v>
      </c>
      <c r="F182" s="21">
        <v>431.27</v>
      </c>
      <c r="G182" s="537"/>
      <c r="H182" s="21">
        <f>F182*AO182</f>
        <v>0</v>
      </c>
      <c r="I182" s="21">
        <f>F182*AP182</f>
        <v>0</v>
      </c>
      <c r="J182" s="21">
        <f>F182*G182</f>
        <v>0</v>
      </c>
      <c r="K182" s="21">
        <v>0.08</v>
      </c>
      <c r="L182" s="21">
        <f>F182*K182</f>
        <v>34.501599999999996</v>
      </c>
      <c r="M182" s="22" t="s">
        <v>55</v>
      </c>
      <c r="N182" s="2"/>
      <c r="Z182" s="21">
        <f>IF(AQ182="5",BJ182,0)</f>
        <v>0</v>
      </c>
      <c r="AB182" s="21">
        <f>IF(AQ182="1",BH182,0)</f>
        <v>0</v>
      </c>
      <c r="AC182" s="21">
        <f>IF(AQ182="1",BI182,0)</f>
        <v>0</v>
      </c>
      <c r="AD182" s="21">
        <f>IF(AQ182="7",BH182,0)</f>
        <v>0</v>
      </c>
      <c r="AE182" s="21">
        <f>IF(AQ182="7",BI182,0)</f>
        <v>0</v>
      </c>
      <c r="AF182" s="21">
        <f>IF(AQ182="2",BH182,0)</f>
        <v>0</v>
      </c>
      <c r="AG182" s="21">
        <f>IF(AQ182="2",BI182,0)</f>
        <v>0</v>
      </c>
      <c r="AH182" s="21">
        <f>IF(AQ182="0",BJ182,0)</f>
        <v>0</v>
      </c>
      <c r="AI182" s="10"/>
      <c r="AJ182" s="21">
        <f>IF(AN182=0,J182,0)</f>
        <v>0</v>
      </c>
      <c r="AK182" s="21">
        <f>IF(AN182=15,J182,0)</f>
        <v>0</v>
      </c>
      <c r="AL182" s="21">
        <f>IF(AN182=21,J182,0)</f>
        <v>0</v>
      </c>
      <c r="AN182" s="21">
        <v>21</v>
      </c>
      <c r="AO182" s="21">
        <f>G182*1</f>
        <v>0</v>
      </c>
      <c r="AP182" s="21">
        <f>G182*(1-1)</f>
        <v>0</v>
      </c>
      <c r="AQ182" s="23" t="s">
        <v>51</v>
      </c>
      <c r="AV182" s="21">
        <f>AW182+AX182</f>
        <v>0</v>
      </c>
      <c r="AW182" s="21">
        <f>F182*AO182</f>
        <v>0</v>
      </c>
      <c r="AX182" s="21">
        <f>F182*AP182</f>
        <v>0</v>
      </c>
      <c r="AY182" s="23" t="s">
        <v>299</v>
      </c>
      <c r="AZ182" s="23" t="s">
        <v>300</v>
      </c>
      <c r="BA182" s="10" t="s">
        <v>58</v>
      </c>
      <c r="BC182" s="21">
        <f>AW182+AX182</f>
        <v>0</v>
      </c>
      <c r="BD182" s="21">
        <f>G182/(100-BE182)*100</f>
        <v>0</v>
      </c>
      <c r="BE182" s="21">
        <v>0</v>
      </c>
      <c r="BF182" s="21">
        <f>L182</f>
        <v>34.501599999999996</v>
      </c>
      <c r="BH182" s="21">
        <f>F182*AO182</f>
        <v>0</v>
      </c>
      <c r="BI182" s="21">
        <f>F182*AP182</f>
        <v>0</v>
      </c>
      <c r="BJ182" s="21">
        <f>F182*G182</f>
        <v>0</v>
      </c>
      <c r="BK182" s="21" t="s">
        <v>201</v>
      </c>
      <c r="BL182" s="21">
        <v>91</v>
      </c>
    </row>
    <row r="183" spans="1:14" ht="15">
      <c r="A183" s="2"/>
      <c r="C183" s="24" t="s">
        <v>524</v>
      </c>
      <c r="D183" s="24"/>
      <c r="F183" s="25">
        <v>427</v>
      </c>
      <c r="M183" s="26"/>
      <c r="N183" s="2"/>
    </row>
    <row r="184" spans="1:14" ht="15">
      <c r="A184" s="2"/>
      <c r="C184" s="24" t="s">
        <v>525</v>
      </c>
      <c r="D184" s="24"/>
      <c r="F184" s="25">
        <v>4.27</v>
      </c>
      <c r="M184" s="26"/>
      <c r="N184" s="2"/>
    </row>
    <row r="185" spans="1:14" ht="15">
      <c r="A185" s="2"/>
      <c r="B185" s="27"/>
      <c r="C185" s="634"/>
      <c r="D185" s="635"/>
      <c r="E185" s="635"/>
      <c r="F185" s="635"/>
      <c r="G185" s="635"/>
      <c r="H185" s="635"/>
      <c r="I185" s="635"/>
      <c r="J185" s="635"/>
      <c r="K185" s="635"/>
      <c r="L185" s="635"/>
      <c r="M185" s="636"/>
      <c r="N185" s="2"/>
    </row>
    <row r="186" spans="1:64" ht="15">
      <c r="A186" s="20" t="s">
        <v>352</v>
      </c>
      <c r="B186" s="3" t="s">
        <v>310</v>
      </c>
      <c r="C186" s="618" t="s">
        <v>311</v>
      </c>
      <c r="D186" s="608"/>
      <c r="E186" s="3" t="s">
        <v>260</v>
      </c>
      <c r="F186" s="21">
        <v>414.1</v>
      </c>
      <c r="G186" s="537"/>
      <c r="H186" s="21">
        <f>F186*AO186</f>
        <v>0</v>
      </c>
      <c r="I186" s="21">
        <f>F186*AP186</f>
        <v>0</v>
      </c>
      <c r="J186" s="21">
        <f>F186*G186</f>
        <v>0</v>
      </c>
      <c r="K186" s="21">
        <v>0.046</v>
      </c>
      <c r="L186" s="21">
        <f>F186*K186</f>
        <v>19.0486</v>
      </c>
      <c r="M186" s="22" t="s">
        <v>55</v>
      </c>
      <c r="N186" s="2"/>
      <c r="Z186" s="21">
        <f>IF(AQ186="5",BJ186,0)</f>
        <v>0</v>
      </c>
      <c r="AB186" s="21">
        <f>IF(AQ186="1",BH186,0)</f>
        <v>0</v>
      </c>
      <c r="AC186" s="21">
        <f>IF(AQ186="1",BI186,0)</f>
        <v>0</v>
      </c>
      <c r="AD186" s="21">
        <f>IF(AQ186="7",BH186,0)</f>
        <v>0</v>
      </c>
      <c r="AE186" s="21">
        <f>IF(AQ186="7",BI186,0)</f>
        <v>0</v>
      </c>
      <c r="AF186" s="21">
        <f>IF(AQ186="2",BH186,0)</f>
        <v>0</v>
      </c>
      <c r="AG186" s="21">
        <f>IF(AQ186="2",BI186,0)</f>
        <v>0</v>
      </c>
      <c r="AH186" s="21">
        <f>IF(AQ186="0",BJ186,0)</f>
        <v>0</v>
      </c>
      <c r="AI186" s="10"/>
      <c r="AJ186" s="21">
        <f>IF(AN186=0,J186,0)</f>
        <v>0</v>
      </c>
      <c r="AK186" s="21">
        <f>IF(AN186=15,J186,0)</f>
        <v>0</v>
      </c>
      <c r="AL186" s="21">
        <f>IF(AN186=21,J186,0)</f>
        <v>0</v>
      </c>
      <c r="AN186" s="21">
        <v>21</v>
      </c>
      <c r="AO186" s="21">
        <f>G186*1</f>
        <v>0</v>
      </c>
      <c r="AP186" s="21">
        <f>G186*(1-1)</f>
        <v>0</v>
      </c>
      <c r="AQ186" s="23" t="s">
        <v>51</v>
      </c>
      <c r="AV186" s="21">
        <f>AW186+AX186</f>
        <v>0</v>
      </c>
      <c r="AW186" s="21">
        <f>F186*AO186</f>
        <v>0</v>
      </c>
      <c r="AX186" s="21">
        <f>F186*AP186</f>
        <v>0</v>
      </c>
      <c r="AY186" s="23" t="s">
        <v>299</v>
      </c>
      <c r="AZ186" s="23" t="s">
        <v>300</v>
      </c>
      <c r="BA186" s="10" t="s">
        <v>58</v>
      </c>
      <c r="BC186" s="21">
        <f>AW186+AX186</f>
        <v>0</v>
      </c>
      <c r="BD186" s="21">
        <f>G186/(100-BE186)*100</f>
        <v>0</v>
      </c>
      <c r="BE186" s="21">
        <v>0</v>
      </c>
      <c r="BF186" s="21">
        <f>L186</f>
        <v>19.0486</v>
      </c>
      <c r="BH186" s="21">
        <f>F186*AO186</f>
        <v>0</v>
      </c>
      <c r="BI186" s="21">
        <f>F186*AP186</f>
        <v>0</v>
      </c>
      <c r="BJ186" s="21">
        <f>F186*G186</f>
        <v>0</v>
      </c>
      <c r="BK186" s="21" t="s">
        <v>201</v>
      </c>
      <c r="BL186" s="21">
        <v>91</v>
      </c>
    </row>
    <row r="187" spans="1:14" ht="15">
      <c r="A187" s="2"/>
      <c r="C187" s="24" t="s">
        <v>526</v>
      </c>
      <c r="D187" s="24"/>
      <c r="F187" s="25">
        <v>410</v>
      </c>
      <c r="M187" s="26"/>
      <c r="N187" s="2"/>
    </row>
    <row r="188" spans="1:14" ht="15">
      <c r="A188" s="2"/>
      <c r="C188" s="24" t="s">
        <v>527</v>
      </c>
      <c r="D188" s="24"/>
      <c r="F188" s="25">
        <v>4.1</v>
      </c>
      <c r="M188" s="26"/>
      <c r="N188" s="2"/>
    </row>
    <row r="189" spans="1:14" ht="15">
      <c r="A189" s="2"/>
      <c r="B189" s="27"/>
      <c r="C189" s="634"/>
      <c r="D189" s="635"/>
      <c r="E189" s="635"/>
      <c r="F189" s="635"/>
      <c r="G189" s="635"/>
      <c r="H189" s="635"/>
      <c r="I189" s="635"/>
      <c r="J189" s="635"/>
      <c r="K189" s="635"/>
      <c r="L189" s="635"/>
      <c r="M189" s="636"/>
      <c r="N189" s="2"/>
    </row>
    <row r="190" spans="1:64" ht="15">
      <c r="A190" s="20" t="s">
        <v>356</v>
      </c>
      <c r="B190" s="3" t="s">
        <v>316</v>
      </c>
      <c r="C190" s="618" t="s">
        <v>317</v>
      </c>
      <c r="D190" s="608"/>
      <c r="E190" s="3" t="s">
        <v>260</v>
      </c>
      <c r="F190" s="21">
        <v>111.1</v>
      </c>
      <c r="G190" s="537"/>
      <c r="H190" s="21">
        <f>F190*AO190</f>
        <v>0</v>
      </c>
      <c r="I190" s="21">
        <f>F190*AP190</f>
        <v>0</v>
      </c>
      <c r="J190" s="21">
        <f>F190*G190</f>
        <v>0</v>
      </c>
      <c r="K190" s="21">
        <v>0.0483</v>
      </c>
      <c r="L190" s="21">
        <f>F190*K190</f>
        <v>5.36613</v>
      </c>
      <c r="M190" s="22" t="s">
        <v>55</v>
      </c>
      <c r="N190" s="2"/>
      <c r="Z190" s="21">
        <f>IF(AQ190="5",BJ190,0)</f>
        <v>0</v>
      </c>
      <c r="AB190" s="21">
        <f>IF(AQ190="1",BH190,0)</f>
        <v>0</v>
      </c>
      <c r="AC190" s="21">
        <f>IF(AQ190="1",BI190,0)</f>
        <v>0</v>
      </c>
      <c r="AD190" s="21">
        <f>IF(AQ190="7",BH190,0)</f>
        <v>0</v>
      </c>
      <c r="AE190" s="21">
        <f>IF(AQ190="7",BI190,0)</f>
        <v>0</v>
      </c>
      <c r="AF190" s="21">
        <f>IF(AQ190="2",BH190,0)</f>
        <v>0</v>
      </c>
      <c r="AG190" s="21">
        <f>IF(AQ190="2",BI190,0)</f>
        <v>0</v>
      </c>
      <c r="AH190" s="21">
        <f>IF(AQ190="0",BJ190,0)</f>
        <v>0</v>
      </c>
      <c r="AI190" s="10"/>
      <c r="AJ190" s="21">
        <f>IF(AN190=0,J190,0)</f>
        <v>0</v>
      </c>
      <c r="AK190" s="21">
        <f>IF(AN190=15,J190,0)</f>
        <v>0</v>
      </c>
      <c r="AL190" s="21">
        <f>IF(AN190=21,J190,0)</f>
        <v>0</v>
      </c>
      <c r="AN190" s="21">
        <v>21</v>
      </c>
      <c r="AO190" s="21">
        <f>G190*1</f>
        <v>0</v>
      </c>
      <c r="AP190" s="21">
        <f>G190*(1-1)</f>
        <v>0</v>
      </c>
      <c r="AQ190" s="23" t="s">
        <v>51</v>
      </c>
      <c r="AV190" s="21">
        <f>AW190+AX190</f>
        <v>0</v>
      </c>
      <c r="AW190" s="21">
        <f>F190*AO190</f>
        <v>0</v>
      </c>
      <c r="AX190" s="21">
        <f>F190*AP190</f>
        <v>0</v>
      </c>
      <c r="AY190" s="23" t="s">
        <v>299</v>
      </c>
      <c r="AZ190" s="23" t="s">
        <v>300</v>
      </c>
      <c r="BA190" s="10" t="s">
        <v>58</v>
      </c>
      <c r="BC190" s="21">
        <f>AW190+AX190</f>
        <v>0</v>
      </c>
      <c r="BD190" s="21">
        <f>G190/(100-BE190)*100</f>
        <v>0</v>
      </c>
      <c r="BE190" s="21">
        <v>0</v>
      </c>
      <c r="BF190" s="21">
        <f>L190</f>
        <v>5.36613</v>
      </c>
      <c r="BH190" s="21">
        <f>F190*AO190</f>
        <v>0</v>
      </c>
      <c r="BI190" s="21">
        <f>F190*AP190</f>
        <v>0</v>
      </c>
      <c r="BJ190" s="21">
        <f>F190*G190</f>
        <v>0</v>
      </c>
      <c r="BK190" s="21" t="s">
        <v>201</v>
      </c>
      <c r="BL190" s="21">
        <v>91</v>
      </c>
    </row>
    <row r="191" spans="1:14" ht="15">
      <c r="A191" s="2"/>
      <c r="C191" s="24" t="s">
        <v>528</v>
      </c>
      <c r="D191" s="24"/>
      <c r="F191" s="25">
        <v>110</v>
      </c>
      <c r="M191" s="26"/>
      <c r="N191" s="2"/>
    </row>
    <row r="192" spans="1:14" ht="15">
      <c r="A192" s="2"/>
      <c r="C192" s="24" t="s">
        <v>529</v>
      </c>
      <c r="D192" s="24"/>
      <c r="F192" s="25">
        <v>1.1</v>
      </c>
      <c r="M192" s="26"/>
      <c r="N192" s="2"/>
    </row>
    <row r="193" spans="1:64" ht="15">
      <c r="A193" s="20" t="s">
        <v>359</v>
      </c>
      <c r="B193" s="3" t="s">
        <v>320</v>
      </c>
      <c r="C193" s="618" t="s">
        <v>321</v>
      </c>
      <c r="D193" s="608"/>
      <c r="E193" s="3" t="s">
        <v>260</v>
      </c>
      <c r="F193" s="21">
        <v>8</v>
      </c>
      <c r="G193" s="537"/>
      <c r="H193" s="21">
        <f>F193*AO193</f>
        <v>0</v>
      </c>
      <c r="I193" s="21">
        <f>F193*AP193</f>
        <v>0</v>
      </c>
      <c r="J193" s="21">
        <f>F193*G193</f>
        <v>0</v>
      </c>
      <c r="K193" s="21">
        <v>0.069</v>
      </c>
      <c r="L193" s="21">
        <f>F193*K193</f>
        <v>0.552</v>
      </c>
      <c r="M193" s="22" t="s">
        <v>55</v>
      </c>
      <c r="N193" s="2"/>
      <c r="Z193" s="21">
        <f>IF(AQ193="5",BJ193,0)</f>
        <v>0</v>
      </c>
      <c r="AB193" s="21">
        <f>IF(AQ193="1",BH193,0)</f>
        <v>0</v>
      </c>
      <c r="AC193" s="21">
        <f>IF(AQ193="1",BI193,0)</f>
        <v>0</v>
      </c>
      <c r="AD193" s="21">
        <f>IF(AQ193="7",BH193,0)</f>
        <v>0</v>
      </c>
      <c r="AE193" s="21">
        <f>IF(AQ193="7",BI193,0)</f>
        <v>0</v>
      </c>
      <c r="AF193" s="21">
        <f>IF(AQ193="2",BH193,0)</f>
        <v>0</v>
      </c>
      <c r="AG193" s="21">
        <f>IF(AQ193="2",BI193,0)</f>
        <v>0</v>
      </c>
      <c r="AH193" s="21">
        <f>IF(AQ193="0",BJ193,0)</f>
        <v>0</v>
      </c>
      <c r="AI193" s="10"/>
      <c r="AJ193" s="21">
        <f>IF(AN193=0,J193,0)</f>
        <v>0</v>
      </c>
      <c r="AK193" s="21">
        <f>IF(AN193=15,J193,0)</f>
        <v>0</v>
      </c>
      <c r="AL193" s="21">
        <f>IF(AN193=21,J193,0)</f>
        <v>0</v>
      </c>
      <c r="AN193" s="21">
        <v>21</v>
      </c>
      <c r="AO193" s="21">
        <f>G193*1</f>
        <v>0</v>
      </c>
      <c r="AP193" s="21">
        <f>G193*(1-1)</f>
        <v>0</v>
      </c>
      <c r="AQ193" s="23" t="s">
        <v>51</v>
      </c>
      <c r="AV193" s="21">
        <f>AW193+AX193</f>
        <v>0</v>
      </c>
      <c r="AW193" s="21">
        <f>F193*AO193</f>
        <v>0</v>
      </c>
      <c r="AX193" s="21">
        <f>F193*AP193</f>
        <v>0</v>
      </c>
      <c r="AY193" s="23" t="s">
        <v>299</v>
      </c>
      <c r="AZ193" s="23" t="s">
        <v>300</v>
      </c>
      <c r="BA193" s="10" t="s">
        <v>58</v>
      </c>
      <c r="BC193" s="21">
        <f>AW193+AX193</f>
        <v>0</v>
      </c>
      <c r="BD193" s="21">
        <f>G193/(100-BE193)*100</f>
        <v>0</v>
      </c>
      <c r="BE193" s="21">
        <v>0</v>
      </c>
      <c r="BF193" s="21">
        <f>L193</f>
        <v>0.552</v>
      </c>
      <c r="BH193" s="21">
        <f>F193*AO193</f>
        <v>0</v>
      </c>
      <c r="BI193" s="21">
        <f>F193*AP193</f>
        <v>0</v>
      </c>
      <c r="BJ193" s="21">
        <f>F193*G193</f>
        <v>0</v>
      </c>
      <c r="BK193" s="21" t="s">
        <v>201</v>
      </c>
      <c r="BL193" s="21">
        <v>91</v>
      </c>
    </row>
    <row r="194" spans="1:14" ht="15">
      <c r="A194" s="2"/>
      <c r="C194" s="24" t="s">
        <v>94</v>
      </c>
      <c r="D194" s="24"/>
      <c r="F194" s="25">
        <v>8</v>
      </c>
      <c r="M194" s="26"/>
      <c r="N194" s="2"/>
    </row>
    <row r="195" spans="1:14" ht="15">
      <c r="A195" s="2"/>
      <c r="B195" s="27"/>
      <c r="C195" s="634"/>
      <c r="D195" s="635"/>
      <c r="E195" s="635"/>
      <c r="F195" s="635"/>
      <c r="G195" s="635"/>
      <c r="H195" s="635"/>
      <c r="I195" s="635"/>
      <c r="J195" s="635"/>
      <c r="K195" s="635"/>
      <c r="L195" s="635"/>
      <c r="M195" s="636"/>
      <c r="N195" s="2"/>
    </row>
    <row r="196" spans="1:64" ht="15">
      <c r="A196" s="20" t="s">
        <v>363</v>
      </c>
      <c r="B196" s="3" t="s">
        <v>323</v>
      </c>
      <c r="C196" s="618" t="s">
        <v>324</v>
      </c>
      <c r="D196" s="608"/>
      <c r="E196" s="3" t="s">
        <v>260</v>
      </c>
      <c r="F196" s="21">
        <v>8</v>
      </c>
      <c r="G196" s="537"/>
      <c r="H196" s="21">
        <f>F196*AO196</f>
        <v>0</v>
      </c>
      <c r="I196" s="21">
        <f>F196*AP196</f>
        <v>0</v>
      </c>
      <c r="J196" s="21">
        <f>F196*G196</f>
        <v>0</v>
      </c>
      <c r="K196" s="21">
        <v>0.069</v>
      </c>
      <c r="L196" s="21">
        <f>F196*K196</f>
        <v>0.552</v>
      </c>
      <c r="M196" s="22" t="s">
        <v>55</v>
      </c>
      <c r="N196" s="2"/>
      <c r="Z196" s="21">
        <f>IF(AQ196="5",BJ196,0)</f>
        <v>0</v>
      </c>
      <c r="AB196" s="21">
        <f>IF(AQ196="1",BH196,0)</f>
        <v>0</v>
      </c>
      <c r="AC196" s="21">
        <f>IF(AQ196="1",BI196,0)</f>
        <v>0</v>
      </c>
      <c r="AD196" s="21">
        <f>IF(AQ196="7",BH196,0)</f>
        <v>0</v>
      </c>
      <c r="AE196" s="21">
        <f>IF(AQ196="7",BI196,0)</f>
        <v>0</v>
      </c>
      <c r="AF196" s="21">
        <f>IF(AQ196="2",BH196,0)</f>
        <v>0</v>
      </c>
      <c r="AG196" s="21">
        <f>IF(AQ196="2",BI196,0)</f>
        <v>0</v>
      </c>
      <c r="AH196" s="21">
        <f>IF(AQ196="0",BJ196,0)</f>
        <v>0</v>
      </c>
      <c r="AI196" s="10"/>
      <c r="AJ196" s="21">
        <f>IF(AN196=0,J196,0)</f>
        <v>0</v>
      </c>
      <c r="AK196" s="21">
        <f>IF(AN196=15,J196,0)</f>
        <v>0</v>
      </c>
      <c r="AL196" s="21">
        <f>IF(AN196=21,J196,0)</f>
        <v>0</v>
      </c>
      <c r="AN196" s="21">
        <v>21</v>
      </c>
      <c r="AO196" s="21">
        <f>G196*1</f>
        <v>0</v>
      </c>
      <c r="AP196" s="21">
        <f>G196*(1-1)</f>
        <v>0</v>
      </c>
      <c r="AQ196" s="23" t="s">
        <v>51</v>
      </c>
      <c r="AV196" s="21">
        <f>AW196+AX196</f>
        <v>0</v>
      </c>
      <c r="AW196" s="21">
        <f>F196*AO196</f>
        <v>0</v>
      </c>
      <c r="AX196" s="21">
        <f>F196*AP196</f>
        <v>0</v>
      </c>
      <c r="AY196" s="23" t="s">
        <v>299</v>
      </c>
      <c r="AZ196" s="23" t="s">
        <v>300</v>
      </c>
      <c r="BA196" s="10" t="s">
        <v>58</v>
      </c>
      <c r="BC196" s="21">
        <f>AW196+AX196</f>
        <v>0</v>
      </c>
      <c r="BD196" s="21">
        <f>G196/(100-BE196)*100</f>
        <v>0</v>
      </c>
      <c r="BE196" s="21">
        <v>0</v>
      </c>
      <c r="BF196" s="21">
        <f>L196</f>
        <v>0.552</v>
      </c>
      <c r="BH196" s="21">
        <f>F196*AO196</f>
        <v>0</v>
      </c>
      <c r="BI196" s="21">
        <f>F196*AP196</f>
        <v>0</v>
      </c>
      <c r="BJ196" s="21">
        <f>F196*G196</f>
        <v>0</v>
      </c>
      <c r="BK196" s="21" t="s">
        <v>201</v>
      </c>
      <c r="BL196" s="21">
        <v>91</v>
      </c>
    </row>
    <row r="197" spans="1:14" ht="15">
      <c r="A197" s="2"/>
      <c r="C197" s="24" t="s">
        <v>94</v>
      </c>
      <c r="D197" s="24"/>
      <c r="F197" s="25">
        <v>8</v>
      </c>
      <c r="M197" s="26"/>
      <c r="N197" s="2"/>
    </row>
    <row r="198" spans="1:14" ht="15">
      <c r="A198" s="2"/>
      <c r="B198" s="27"/>
      <c r="C198" s="634"/>
      <c r="D198" s="635"/>
      <c r="E198" s="635"/>
      <c r="F198" s="635"/>
      <c r="G198" s="635"/>
      <c r="H198" s="635"/>
      <c r="I198" s="635"/>
      <c r="J198" s="635"/>
      <c r="K198" s="635"/>
      <c r="L198" s="635"/>
      <c r="M198" s="636"/>
      <c r="N198" s="2"/>
    </row>
    <row r="199" spans="1:64" ht="15">
      <c r="A199" s="20" t="s">
        <v>369</v>
      </c>
      <c r="B199" s="3" t="s">
        <v>329</v>
      </c>
      <c r="C199" s="618" t="s">
        <v>330</v>
      </c>
      <c r="D199" s="608"/>
      <c r="E199" s="3" t="s">
        <v>54</v>
      </c>
      <c r="F199" s="21">
        <v>38</v>
      </c>
      <c r="G199" s="537"/>
      <c r="H199" s="21">
        <f>F199*AO199</f>
        <v>0</v>
      </c>
      <c r="I199" s="21">
        <f>F199*AP199</f>
        <v>0</v>
      </c>
      <c r="J199" s="21">
        <f>F199*G199</f>
        <v>0</v>
      </c>
      <c r="K199" s="21">
        <v>0.00107</v>
      </c>
      <c r="L199" s="21">
        <f>F199*K199</f>
        <v>0.04066</v>
      </c>
      <c r="M199" s="539" t="s">
        <v>2130</v>
      </c>
      <c r="N199" s="2"/>
      <c r="Z199" s="21">
        <f>IF(AQ199="5",BJ199,0)</f>
        <v>0</v>
      </c>
      <c r="AB199" s="21">
        <f>IF(AQ199="1",BH199,0)</f>
        <v>0</v>
      </c>
      <c r="AC199" s="21">
        <f>IF(AQ199="1",BI199,0)</f>
        <v>0</v>
      </c>
      <c r="AD199" s="21">
        <f>IF(AQ199="7",BH199,0)</f>
        <v>0</v>
      </c>
      <c r="AE199" s="21">
        <f>IF(AQ199="7",BI199,0)</f>
        <v>0</v>
      </c>
      <c r="AF199" s="21">
        <f>IF(AQ199="2",BH199,0)</f>
        <v>0</v>
      </c>
      <c r="AG199" s="21">
        <f>IF(AQ199="2",BI199,0)</f>
        <v>0</v>
      </c>
      <c r="AH199" s="21">
        <f>IF(AQ199="0",BJ199,0)</f>
        <v>0</v>
      </c>
      <c r="AI199" s="10"/>
      <c r="AJ199" s="21">
        <f>IF(AN199=0,J199,0)</f>
        <v>0</v>
      </c>
      <c r="AK199" s="21">
        <f>IF(AN199=15,J199,0)</f>
        <v>0</v>
      </c>
      <c r="AL199" s="21">
        <f>IF(AN199=21,J199,0)</f>
        <v>0</v>
      </c>
      <c r="AN199" s="21">
        <v>21</v>
      </c>
      <c r="AO199" s="21">
        <f>G199*0.91384</f>
        <v>0</v>
      </c>
      <c r="AP199" s="21">
        <f>G199*(1-0.91384)</f>
        <v>0</v>
      </c>
      <c r="AQ199" s="23" t="s">
        <v>51</v>
      </c>
      <c r="AV199" s="21">
        <f>AW199+AX199</f>
        <v>0</v>
      </c>
      <c r="AW199" s="21">
        <f>F199*AO199</f>
        <v>0</v>
      </c>
      <c r="AX199" s="21">
        <f>F199*AP199</f>
        <v>0</v>
      </c>
      <c r="AY199" s="23" t="s">
        <v>299</v>
      </c>
      <c r="AZ199" s="23" t="s">
        <v>300</v>
      </c>
      <c r="BA199" s="10" t="s">
        <v>58</v>
      </c>
      <c r="BC199" s="21">
        <f>AW199+AX199</f>
        <v>0</v>
      </c>
      <c r="BD199" s="21">
        <f>G199/(100-BE199)*100</f>
        <v>0</v>
      </c>
      <c r="BE199" s="21">
        <v>0</v>
      </c>
      <c r="BF199" s="21">
        <f>L199</f>
        <v>0.04066</v>
      </c>
      <c r="BH199" s="21">
        <f>F199*AO199</f>
        <v>0</v>
      </c>
      <c r="BI199" s="21">
        <f>F199*AP199</f>
        <v>0</v>
      </c>
      <c r="BJ199" s="21">
        <f>F199*G199</f>
        <v>0</v>
      </c>
      <c r="BK199" s="21" t="s">
        <v>59</v>
      </c>
      <c r="BL199" s="21">
        <v>91</v>
      </c>
    </row>
    <row r="200" spans="1:14" ht="15">
      <c r="A200" s="2"/>
      <c r="B200" s="27" t="s">
        <v>138</v>
      </c>
      <c r="C200" s="639" t="s">
        <v>331</v>
      </c>
      <c r="D200" s="640"/>
      <c r="E200" s="640"/>
      <c r="F200" s="640"/>
      <c r="G200" s="640"/>
      <c r="H200" s="640"/>
      <c r="I200" s="640"/>
      <c r="J200" s="640"/>
      <c r="K200" s="640"/>
      <c r="L200" s="640"/>
      <c r="M200" s="641"/>
      <c r="N200" s="2"/>
    </row>
    <row r="201" spans="1:14" ht="15">
      <c r="A201" s="2"/>
      <c r="C201" s="24" t="s">
        <v>530</v>
      </c>
      <c r="D201" s="24" t="s">
        <v>333</v>
      </c>
      <c r="F201" s="25">
        <v>38</v>
      </c>
      <c r="M201" s="26"/>
      <c r="N201" s="2"/>
    </row>
    <row r="202" spans="1:14" ht="15">
      <c r="A202" s="2"/>
      <c r="B202" s="27" t="s">
        <v>61</v>
      </c>
      <c r="C202" s="634" t="s">
        <v>334</v>
      </c>
      <c r="D202" s="635"/>
      <c r="E202" s="635"/>
      <c r="F202" s="635"/>
      <c r="G202" s="635"/>
      <c r="H202" s="635"/>
      <c r="I202" s="635"/>
      <c r="J202" s="635"/>
      <c r="K202" s="635"/>
      <c r="L202" s="635"/>
      <c r="M202" s="636"/>
      <c r="N202" s="2"/>
    </row>
    <row r="203" spans="1:64" ht="15">
      <c r="A203" s="20" t="s">
        <v>377</v>
      </c>
      <c r="B203" s="3" t="s">
        <v>531</v>
      </c>
      <c r="C203" s="618" t="s">
        <v>532</v>
      </c>
      <c r="D203" s="608"/>
      <c r="E203" s="3" t="s">
        <v>54</v>
      </c>
      <c r="F203" s="21">
        <v>3</v>
      </c>
      <c r="G203" s="537"/>
      <c r="H203" s="21">
        <f>F203*AO203</f>
        <v>0</v>
      </c>
      <c r="I203" s="21">
        <f>F203*AP203</f>
        <v>0</v>
      </c>
      <c r="J203" s="21">
        <f>F203*G203</f>
        <v>0</v>
      </c>
      <c r="K203" s="21">
        <v>0.00076</v>
      </c>
      <c r="L203" s="21">
        <f>F203*K203</f>
        <v>0.00228</v>
      </c>
      <c r="M203" s="22" t="s">
        <v>55</v>
      </c>
      <c r="N203" s="2"/>
      <c r="Z203" s="21">
        <f>IF(AQ203="5",BJ203,0)</f>
        <v>0</v>
      </c>
      <c r="AB203" s="21">
        <f>IF(AQ203="1",BH203,0)</f>
        <v>0</v>
      </c>
      <c r="AC203" s="21">
        <f>IF(AQ203="1",BI203,0)</f>
        <v>0</v>
      </c>
      <c r="AD203" s="21">
        <f>IF(AQ203="7",BH203,0)</f>
        <v>0</v>
      </c>
      <c r="AE203" s="21">
        <f>IF(AQ203="7",BI203,0)</f>
        <v>0</v>
      </c>
      <c r="AF203" s="21">
        <f>IF(AQ203="2",BH203,0)</f>
        <v>0</v>
      </c>
      <c r="AG203" s="21">
        <f>IF(AQ203="2",BI203,0)</f>
        <v>0</v>
      </c>
      <c r="AH203" s="21">
        <f>IF(AQ203="0",BJ203,0)</f>
        <v>0</v>
      </c>
      <c r="AI203" s="10"/>
      <c r="AJ203" s="21">
        <f>IF(AN203=0,J203,0)</f>
        <v>0</v>
      </c>
      <c r="AK203" s="21">
        <f>IF(AN203=15,J203,0)</f>
        <v>0</v>
      </c>
      <c r="AL203" s="21">
        <f>IF(AN203=21,J203,0)</f>
        <v>0</v>
      </c>
      <c r="AN203" s="21">
        <v>21</v>
      </c>
      <c r="AO203" s="21">
        <f>G203*0.352277227722772</f>
        <v>0</v>
      </c>
      <c r="AP203" s="21">
        <f>G203*(1-0.352277227722772)</f>
        <v>0</v>
      </c>
      <c r="AQ203" s="23" t="s">
        <v>51</v>
      </c>
      <c r="AV203" s="21">
        <f>AW203+AX203</f>
        <v>0</v>
      </c>
      <c r="AW203" s="21">
        <f>F203*AO203</f>
        <v>0</v>
      </c>
      <c r="AX203" s="21">
        <f>F203*AP203</f>
        <v>0</v>
      </c>
      <c r="AY203" s="23" t="s">
        <v>299</v>
      </c>
      <c r="AZ203" s="23" t="s">
        <v>300</v>
      </c>
      <c r="BA203" s="10" t="s">
        <v>58</v>
      </c>
      <c r="BC203" s="21">
        <f>AW203+AX203</f>
        <v>0</v>
      </c>
      <c r="BD203" s="21">
        <f>G203/(100-BE203)*100</f>
        <v>0</v>
      </c>
      <c r="BE203" s="21">
        <v>0</v>
      </c>
      <c r="BF203" s="21">
        <f>L203</f>
        <v>0.00228</v>
      </c>
      <c r="BH203" s="21">
        <f>F203*AO203</f>
        <v>0</v>
      </c>
      <c r="BI203" s="21">
        <f>F203*AP203</f>
        <v>0</v>
      </c>
      <c r="BJ203" s="21">
        <f>F203*G203</f>
        <v>0</v>
      </c>
      <c r="BK203" s="21" t="s">
        <v>59</v>
      </c>
      <c r="BL203" s="21">
        <v>91</v>
      </c>
    </row>
    <row r="204" spans="1:14" ht="15">
      <c r="A204" s="2"/>
      <c r="B204" s="27" t="s">
        <v>138</v>
      </c>
      <c r="C204" s="639" t="s">
        <v>533</v>
      </c>
      <c r="D204" s="640"/>
      <c r="E204" s="640"/>
      <c r="F204" s="640"/>
      <c r="G204" s="640"/>
      <c r="H204" s="640"/>
      <c r="I204" s="640"/>
      <c r="J204" s="640"/>
      <c r="K204" s="640"/>
      <c r="L204" s="640"/>
      <c r="M204" s="641"/>
      <c r="N204" s="2"/>
    </row>
    <row r="205" spans="1:14" ht="15">
      <c r="A205" s="2"/>
      <c r="C205" s="24" t="s">
        <v>67</v>
      </c>
      <c r="D205" s="24" t="s">
        <v>534</v>
      </c>
      <c r="F205" s="25">
        <v>3</v>
      </c>
      <c r="M205" s="26"/>
      <c r="N205" s="2"/>
    </row>
    <row r="206" spans="1:64" ht="15">
      <c r="A206" s="20" t="s">
        <v>382</v>
      </c>
      <c r="B206" s="3" t="s">
        <v>335</v>
      </c>
      <c r="C206" s="618" t="s">
        <v>336</v>
      </c>
      <c r="D206" s="608"/>
      <c r="E206" s="3" t="s">
        <v>260</v>
      </c>
      <c r="F206" s="21">
        <v>4</v>
      </c>
      <c r="G206" s="537"/>
      <c r="H206" s="21">
        <f>F206*AO206</f>
        <v>0</v>
      </c>
      <c r="I206" s="21">
        <f>F206*AP206</f>
        <v>0</v>
      </c>
      <c r="J206" s="21">
        <f>F206*G206</f>
        <v>0</v>
      </c>
      <c r="K206" s="21">
        <v>0.1133</v>
      </c>
      <c r="L206" s="21">
        <f>F206*K206</f>
        <v>0.4532</v>
      </c>
      <c r="M206" s="22" t="s">
        <v>55</v>
      </c>
      <c r="N206" s="2"/>
      <c r="Z206" s="21">
        <f>IF(AQ206="5",BJ206,0)</f>
        <v>0</v>
      </c>
      <c r="AB206" s="21">
        <f>IF(AQ206="1",BH206,0)</f>
        <v>0</v>
      </c>
      <c r="AC206" s="21">
        <f>IF(AQ206="1",BI206,0)</f>
        <v>0</v>
      </c>
      <c r="AD206" s="21">
        <f>IF(AQ206="7",BH206,0)</f>
        <v>0</v>
      </c>
      <c r="AE206" s="21">
        <f>IF(AQ206="7",BI206,0)</f>
        <v>0</v>
      </c>
      <c r="AF206" s="21">
        <f>IF(AQ206="2",BH206,0)</f>
        <v>0</v>
      </c>
      <c r="AG206" s="21">
        <f>IF(AQ206="2",BI206,0)</f>
        <v>0</v>
      </c>
      <c r="AH206" s="21">
        <f>IF(AQ206="0",BJ206,0)</f>
        <v>0</v>
      </c>
      <c r="AI206" s="10"/>
      <c r="AJ206" s="21">
        <f>IF(AN206=0,J206,0)</f>
        <v>0</v>
      </c>
      <c r="AK206" s="21">
        <f>IF(AN206=15,J206,0)</f>
        <v>0</v>
      </c>
      <c r="AL206" s="21">
        <f>IF(AN206=21,J206,0)</f>
        <v>0</v>
      </c>
      <c r="AN206" s="21">
        <v>21</v>
      </c>
      <c r="AO206" s="21">
        <f>G206*0.628078291814947</f>
        <v>0</v>
      </c>
      <c r="AP206" s="21">
        <f>G206*(1-0.628078291814947)</f>
        <v>0</v>
      </c>
      <c r="AQ206" s="23" t="s">
        <v>51</v>
      </c>
      <c r="AV206" s="21">
        <f>AW206+AX206</f>
        <v>0</v>
      </c>
      <c r="AW206" s="21">
        <f>F206*AO206</f>
        <v>0</v>
      </c>
      <c r="AX206" s="21">
        <f>F206*AP206</f>
        <v>0</v>
      </c>
      <c r="AY206" s="23" t="s">
        <v>299</v>
      </c>
      <c r="AZ206" s="23" t="s">
        <v>300</v>
      </c>
      <c r="BA206" s="10" t="s">
        <v>58</v>
      </c>
      <c r="BC206" s="21">
        <f>AW206+AX206</f>
        <v>0</v>
      </c>
      <c r="BD206" s="21">
        <f>G206/(100-BE206)*100</f>
        <v>0</v>
      </c>
      <c r="BE206" s="21">
        <v>0</v>
      </c>
      <c r="BF206" s="21">
        <f>L206</f>
        <v>0.4532</v>
      </c>
      <c r="BH206" s="21">
        <f>F206*AO206</f>
        <v>0</v>
      </c>
      <c r="BI206" s="21">
        <f>F206*AP206</f>
        <v>0</v>
      </c>
      <c r="BJ206" s="21">
        <f>F206*G206</f>
        <v>0</v>
      </c>
      <c r="BK206" s="21" t="s">
        <v>59</v>
      </c>
      <c r="BL206" s="21">
        <v>91</v>
      </c>
    </row>
    <row r="207" spans="1:14" ht="15">
      <c r="A207" s="2"/>
      <c r="C207" s="24" t="s">
        <v>71</v>
      </c>
      <c r="D207" s="24"/>
      <c r="F207" s="25">
        <v>4</v>
      </c>
      <c r="M207" s="26"/>
      <c r="N207" s="2"/>
    </row>
    <row r="208" spans="1:14" ht="15">
      <c r="A208" s="2"/>
      <c r="B208" s="27" t="s">
        <v>61</v>
      </c>
      <c r="C208" s="634" t="s">
        <v>337</v>
      </c>
      <c r="D208" s="635"/>
      <c r="E208" s="635"/>
      <c r="F208" s="635"/>
      <c r="G208" s="635"/>
      <c r="H208" s="635"/>
      <c r="I208" s="635"/>
      <c r="J208" s="635"/>
      <c r="K208" s="635"/>
      <c r="L208" s="635"/>
      <c r="M208" s="636"/>
      <c r="N208" s="2"/>
    </row>
    <row r="209" spans="1:64" ht="15">
      <c r="A209" s="20" t="s">
        <v>385</v>
      </c>
      <c r="B209" s="3" t="s">
        <v>535</v>
      </c>
      <c r="C209" s="618" t="s">
        <v>2477</v>
      </c>
      <c r="D209" s="608"/>
      <c r="E209" s="3" t="s">
        <v>260</v>
      </c>
      <c r="F209" s="21">
        <v>2</v>
      </c>
      <c r="G209" s="537"/>
      <c r="H209" s="21">
        <f>F209*AO209</f>
        <v>0</v>
      </c>
      <c r="I209" s="21">
        <f>F209*AP209</f>
        <v>0</v>
      </c>
      <c r="J209" s="21">
        <f>F209*G209</f>
        <v>0</v>
      </c>
      <c r="K209" s="21">
        <v>0.0051</v>
      </c>
      <c r="L209" s="21">
        <f>F209*K209</f>
        <v>0.0102</v>
      </c>
      <c r="M209" s="22" t="s">
        <v>55</v>
      </c>
      <c r="N209" s="2"/>
      <c r="Z209" s="21">
        <f>IF(AQ209="5",BJ209,0)</f>
        <v>0</v>
      </c>
      <c r="AB209" s="21">
        <f>IF(AQ209="1",BH209,0)</f>
        <v>0</v>
      </c>
      <c r="AC209" s="21">
        <f>IF(AQ209="1",BI209,0)</f>
        <v>0</v>
      </c>
      <c r="AD209" s="21">
        <f>IF(AQ209="7",BH209,0)</f>
        <v>0</v>
      </c>
      <c r="AE209" s="21">
        <f>IF(AQ209="7",BI209,0)</f>
        <v>0</v>
      </c>
      <c r="AF209" s="21">
        <f>IF(AQ209="2",BH209,0)</f>
        <v>0</v>
      </c>
      <c r="AG209" s="21">
        <f>IF(AQ209="2",BI209,0)</f>
        <v>0</v>
      </c>
      <c r="AH209" s="21">
        <f>IF(AQ209="0",BJ209,0)</f>
        <v>0</v>
      </c>
      <c r="AI209" s="10"/>
      <c r="AJ209" s="21">
        <f>IF(AN209=0,J209,0)</f>
        <v>0</v>
      </c>
      <c r="AK209" s="21">
        <f>IF(AN209=15,J209,0)</f>
        <v>0</v>
      </c>
      <c r="AL209" s="21">
        <f>IF(AN209=21,J209,0)</f>
        <v>0</v>
      </c>
      <c r="AN209" s="21">
        <v>21</v>
      </c>
      <c r="AO209" s="21">
        <f>G209*1</f>
        <v>0</v>
      </c>
      <c r="AP209" s="21">
        <f>G209*(1-1)</f>
        <v>0</v>
      </c>
      <c r="AQ209" s="23" t="s">
        <v>51</v>
      </c>
      <c r="AV209" s="21">
        <f>AW209+AX209</f>
        <v>0</v>
      </c>
      <c r="AW209" s="21">
        <f>F209*AO209</f>
        <v>0</v>
      </c>
      <c r="AX209" s="21">
        <f>F209*AP209</f>
        <v>0</v>
      </c>
      <c r="AY209" s="23" t="s">
        <v>299</v>
      </c>
      <c r="AZ209" s="23" t="s">
        <v>300</v>
      </c>
      <c r="BA209" s="10" t="s">
        <v>58</v>
      </c>
      <c r="BC209" s="21">
        <f>AW209+AX209</f>
        <v>0</v>
      </c>
      <c r="BD209" s="21">
        <f>G209/(100-BE209)*100</f>
        <v>0</v>
      </c>
      <c r="BE209" s="21">
        <v>0</v>
      </c>
      <c r="BF209" s="21">
        <f>L209</f>
        <v>0.0102</v>
      </c>
      <c r="BH209" s="21">
        <f>F209*AO209</f>
        <v>0</v>
      </c>
      <c r="BI209" s="21">
        <f>F209*AP209</f>
        <v>0</v>
      </c>
      <c r="BJ209" s="21">
        <f>F209*G209</f>
        <v>0</v>
      </c>
      <c r="BK209" s="21" t="s">
        <v>201</v>
      </c>
      <c r="BL209" s="21">
        <v>91</v>
      </c>
    </row>
    <row r="210" spans="1:14" ht="15">
      <c r="A210" s="2"/>
      <c r="C210" s="24" t="s">
        <v>63</v>
      </c>
      <c r="D210" s="24"/>
      <c r="F210" s="25">
        <v>2</v>
      </c>
      <c r="M210" s="26"/>
      <c r="N210" s="2"/>
    </row>
    <row r="211" spans="1:14" ht="25.65" customHeight="1">
      <c r="A211" s="2"/>
      <c r="B211" s="27" t="s">
        <v>61</v>
      </c>
      <c r="C211" s="634" t="s">
        <v>345</v>
      </c>
      <c r="D211" s="635"/>
      <c r="E211" s="635"/>
      <c r="F211" s="635"/>
      <c r="G211" s="635"/>
      <c r="H211" s="635"/>
      <c r="I211" s="635"/>
      <c r="J211" s="635"/>
      <c r="K211" s="635"/>
      <c r="L211" s="635"/>
      <c r="M211" s="636"/>
      <c r="N211" s="2"/>
    </row>
    <row r="212" spans="1:64" ht="15">
      <c r="A212" s="20" t="s">
        <v>388</v>
      </c>
      <c r="B212" s="3" t="s">
        <v>537</v>
      </c>
      <c r="C212" s="618" t="s">
        <v>538</v>
      </c>
      <c r="D212" s="608"/>
      <c r="E212" s="3" t="s">
        <v>260</v>
      </c>
      <c r="F212" s="21">
        <v>3</v>
      </c>
      <c r="G212" s="537"/>
      <c r="H212" s="21">
        <f>F212*AO212</f>
        <v>0</v>
      </c>
      <c r="I212" s="21">
        <f>F212*AP212</f>
        <v>0</v>
      </c>
      <c r="J212" s="21">
        <f>F212*G212</f>
        <v>0</v>
      </c>
      <c r="K212" s="21">
        <v>0.002</v>
      </c>
      <c r="L212" s="21">
        <f>F212*K212</f>
        <v>0.006</v>
      </c>
      <c r="M212" s="22" t="s">
        <v>55</v>
      </c>
      <c r="N212" s="2"/>
      <c r="Z212" s="21">
        <f>IF(AQ212="5",BJ212,0)</f>
        <v>0</v>
      </c>
      <c r="AB212" s="21">
        <f>IF(AQ212="1",BH212,0)</f>
        <v>0</v>
      </c>
      <c r="AC212" s="21">
        <f>IF(AQ212="1",BI212,0)</f>
        <v>0</v>
      </c>
      <c r="AD212" s="21">
        <f>IF(AQ212="7",BH212,0)</f>
        <v>0</v>
      </c>
      <c r="AE212" s="21">
        <f>IF(AQ212="7",BI212,0)</f>
        <v>0</v>
      </c>
      <c r="AF212" s="21">
        <f>IF(AQ212="2",BH212,0)</f>
        <v>0</v>
      </c>
      <c r="AG212" s="21">
        <f>IF(AQ212="2",BI212,0)</f>
        <v>0</v>
      </c>
      <c r="AH212" s="21">
        <f>IF(AQ212="0",BJ212,0)</f>
        <v>0</v>
      </c>
      <c r="AI212" s="10"/>
      <c r="AJ212" s="21">
        <f>IF(AN212=0,J212,0)</f>
        <v>0</v>
      </c>
      <c r="AK212" s="21">
        <f>IF(AN212=15,J212,0)</f>
        <v>0</v>
      </c>
      <c r="AL212" s="21">
        <f>IF(AN212=21,J212,0)</f>
        <v>0</v>
      </c>
      <c r="AN212" s="21">
        <v>21</v>
      </c>
      <c r="AO212" s="21">
        <f>G212*1</f>
        <v>0</v>
      </c>
      <c r="AP212" s="21">
        <f>G212*(1-1)</f>
        <v>0</v>
      </c>
      <c r="AQ212" s="23" t="s">
        <v>51</v>
      </c>
      <c r="AV212" s="21">
        <f>AW212+AX212</f>
        <v>0</v>
      </c>
      <c r="AW212" s="21">
        <f>F212*AO212</f>
        <v>0</v>
      </c>
      <c r="AX212" s="21">
        <f>F212*AP212</f>
        <v>0</v>
      </c>
      <c r="AY212" s="23" t="s">
        <v>299</v>
      </c>
      <c r="AZ212" s="23" t="s">
        <v>300</v>
      </c>
      <c r="BA212" s="10" t="s">
        <v>58</v>
      </c>
      <c r="BC212" s="21">
        <f>AW212+AX212</f>
        <v>0</v>
      </c>
      <c r="BD212" s="21">
        <f>G212/(100-BE212)*100</f>
        <v>0</v>
      </c>
      <c r="BE212" s="21">
        <v>0</v>
      </c>
      <c r="BF212" s="21">
        <f>L212</f>
        <v>0.006</v>
      </c>
      <c r="BH212" s="21">
        <f>F212*AO212</f>
        <v>0</v>
      </c>
      <c r="BI212" s="21">
        <f>F212*AP212</f>
        <v>0</v>
      </c>
      <c r="BJ212" s="21">
        <f>F212*G212</f>
        <v>0</v>
      </c>
      <c r="BK212" s="21" t="s">
        <v>201</v>
      </c>
      <c r="BL212" s="21">
        <v>91</v>
      </c>
    </row>
    <row r="213" spans="1:14" ht="15">
      <c r="A213" s="2"/>
      <c r="C213" s="24" t="s">
        <v>67</v>
      </c>
      <c r="D213" s="24"/>
      <c r="F213" s="25">
        <v>3</v>
      </c>
      <c r="M213" s="26"/>
      <c r="N213" s="2"/>
    </row>
    <row r="214" spans="1:14" ht="25.65" customHeight="1">
      <c r="A214" s="2"/>
      <c r="B214" s="27" t="s">
        <v>61</v>
      </c>
      <c r="C214" s="634" t="s">
        <v>539</v>
      </c>
      <c r="D214" s="635"/>
      <c r="E214" s="635"/>
      <c r="F214" s="635"/>
      <c r="G214" s="635"/>
      <c r="H214" s="635"/>
      <c r="I214" s="635"/>
      <c r="J214" s="635"/>
      <c r="K214" s="635"/>
      <c r="L214" s="635"/>
      <c r="M214" s="636"/>
      <c r="N214" s="2"/>
    </row>
    <row r="215" spans="1:64" ht="15">
      <c r="A215" s="20" t="s">
        <v>391</v>
      </c>
      <c r="B215" s="3" t="s">
        <v>338</v>
      </c>
      <c r="C215" s="618" t="s">
        <v>339</v>
      </c>
      <c r="D215" s="608"/>
      <c r="E215" s="3" t="s">
        <v>260</v>
      </c>
      <c r="F215" s="21">
        <v>12</v>
      </c>
      <c r="G215" s="537"/>
      <c r="H215" s="21">
        <f>F215*AO215</f>
        <v>0</v>
      </c>
      <c r="I215" s="21">
        <f>F215*AP215</f>
        <v>0</v>
      </c>
      <c r="J215" s="21">
        <f>F215*G215</f>
        <v>0</v>
      </c>
      <c r="K215" s="21">
        <v>0.0055</v>
      </c>
      <c r="L215" s="21">
        <f>F215*K215</f>
        <v>0.066</v>
      </c>
      <c r="M215" s="22" t="s">
        <v>55</v>
      </c>
      <c r="N215" s="2"/>
      <c r="Z215" s="21">
        <f>IF(AQ215="5",BJ215,0)</f>
        <v>0</v>
      </c>
      <c r="AB215" s="21">
        <f>IF(AQ215="1",BH215,0)</f>
        <v>0</v>
      </c>
      <c r="AC215" s="21">
        <f>IF(AQ215="1",BI215,0)</f>
        <v>0</v>
      </c>
      <c r="AD215" s="21">
        <f>IF(AQ215="7",BH215,0)</f>
        <v>0</v>
      </c>
      <c r="AE215" s="21">
        <f>IF(AQ215="7",BI215,0)</f>
        <v>0</v>
      </c>
      <c r="AF215" s="21">
        <f>IF(AQ215="2",BH215,0)</f>
        <v>0</v>
      </c>
      <c r="AG215" s="21">
        <f>IF(AQ215="2",BI215,0)</f>
        <v>0</v>
      </c>
      <c r="AH215" s="21">
        <f>IF(AQ215="0",BJ215,0)</f>
        <v>0</v>
      </c>
      <c r="AI215" s="10"/>
      <c r="AJ215" s="21">
        <f>IF(AN215=0,J215,0)</f>
        <v>0</v>
      </c>
      <c r="AK215" s="21">
        <f>IF(AN215=15,J215,0)</f>
        <v>0</v>
      </c>
      <c r="AL215" s="21">
        <f>IF(AN215=21,J215,0)</f>
        <v>0</v>
      </c>
      <c r="AN215" s="21">
        <v>21</v>
      </c>
      <c r="AO215" s="21">
        <f>G215*1</f>
        <v>0</v>
      </c>
      <c r="AP215" s="21">
        <f>G215*(1-1)</f>
        <v>0</v>
      </c>
      <c r="AQ215" s="23" t="s">
        <v>51</v>
      </c>
      <c r="AV215" s="21">
        <f>AW215+AX215</f>
        <v>0</v>
      </c>
      <c r="AW215" s="21">
        <f>F215*AO215</f>
        <v>0</v>
      </c>
      <c r="AX215" s="21">
        <f>F215*AP215</f>
        <v>0</v>
      </c>
      <c r="AY215" s="23" t="s">
        <v>299</v>
      </c>
      <c r="AZ215" s="23" t="s">
        <v>300</v>
      </c>
      <c r="BA215" s="10" t="s">
        <v>58</v>
      </c>
      <c r="BC215" s="21">
        <f>AW215+AX215</f>
        <v>0</v>
      </c>
      <c r="BD215" s="21">
        <f>G215/(100-BE215)*100</f>
        <v>0</v>
      </c>
      <c r="BE215" s="21">
        <v>0</v>
      </c>
      <c r="BF215" s="21">
        <f>L215</f>
        <v>0.066</v>
      </c>
      <c r="BH215" s="21">
        <f>F215*AO215</f>
        <v>0</v>
      </c>
      <c r="BI215" s="21">
        <f>F215*AP215</f>
        <v>0</v>
      </c>
      <c r="BJ215" s="21">
        <f>F215*G215</f>
        <v>0</v>
      </c>
      <c r="BK215" s="21" t="s">
        <v>201</v>
      </c>
      <c r="BL215" s="21">
        <v>91</v>
      </c>
    </row>
    <row r="216" spans="1:14" ht="15">
      <c r="A216" s="2"/>
      <c r="C216" s="24" t="s">
        <v>540</v>
      </c>
      <c r="D216" s="24"/>
      <c r="F216" s="25">
        <v>12</v>
      </c>
      <c r="M216" s="26"/>
      <c r="N216" s="2"/>
    </row>
    <row r="217" spans="1:14" ht="15">
      <c r="A217" s="2"/>
      <c r="B217" s="27" t="s">
        <v>61</v>
      </c>
      <c r="C217" s="634" t="s">
        <v>340</v>
      </c>
      <c r="D217" s="635"/>
      <c r="E217" s="635"/>
      <c r="F217" s="635"/>
      <c r="G217" s="635"/>
      <c r="H217" s="635"/>
      <c r="I217" s="635"/>
      <c r="J217" s="635"/>
      <c r="K217" s="635"/>
      <c r="L217" s="635"/>
      <c r="M217" s="636"/>
      <c r="N217" s="2"/>
    </row>
    <row r="218" spans="1:64" ht="15">
      <c r="A218" s="20" t="s">
        <v>394</v>
      </c>
      <c r="B218" s="3" t="s">
        <v>357</v>
      </c>
      <c r="C218" s="618" t="s">
        <v>358</v>
      </c>
      <c r="D218" s="608"/>
      <c r="E218" s="3" t="s">
        <v>260</v>
      </c>
      <c r="F218" s="21">
        <v>4</v>
      </c>
      <c r="G218" s="537"/>
      <c r="H218" s="21">
        <f>F218*AO218</f>
        <v>0</v>
      </c>
      <c r="I218" s="21">
        <f>F218*AP218</f>
        <v>0</v>
      </c>
      <c r="J218" s="21">
        <f>F218*G218</f>
        <v>0</v>
      </c>
      <c r="K218" s="21">
        <v>0.0151</v>
      </c>
      <c r="L218" s="21">
        <f>F218*K218</f>
        <v>0.0604</v>
      </c>
      <c r="M218" s="22" t="s">
        <v>55</v>
      </c>
      <c r="N218" s="2"/>
      <c r="Z218" s="21">
        <f>IF(AQ218="5",BJ218,0)</f>
        <v>0</v>
      </c>
      <c r="AB218" s="21">
        <f>IF(AQ218="1",BH218,0)</f>
        <v>0</v>
      </c>
      <c r="AC218" s="21">
        <f>IF(AQ218="1",BI218,0)</f>
        <v>0</v>
      </c>
      <c r="AD218" s="21">
        <f>IF(AQ218="7",BH218,0)</f>
        <v>0</v>
      </c>
      <c r="AE218" s="21">
        <f>IF(AQ218="7",BI218,0)</f>
        <v>0</v>
      </c>
      <c r="AF218" s="21">
        <f>IF(AQ218="2",BH218,0)</f>
        <v>0</v>
      </c>
      <c r="AG218" s="21">
        <f>IF(AQ218="2",BI218,0)</f>
        <v>0</v>
      </c>
      <c r="AH218" s="21">
        <f>IF(AQ218="0",BJ218,0)</f>
        <v>0</v>
      </c>
      <c r="AI218" s="10"/>
      <c r="AJ218" s="21">
        <f>IF(AN218=0,J218,0)</f>
        <v>0</v>
      </c>
      <c r="AK218" s="21">
        <f>IF(AN218=15,J218,0)</f>
        <v>0</v>
      </c>
      <c r="AL218" s="21">
        <f>IF(AN218=21,J218,0)</f>
        <v>0</v>
      </c>
      <c r="AN218" s="21">
        <v>21</v>
      </c>
      <c r="AO218" s="21">
        <f>G218*1</f>
        <v>0</v>
      </c>
      <c r="AP218" s="21">
        <f>G218*(1-1)</f>
        <v>0</v>
      </c>
      <c r="AQ218" s="23" t="s">
        <v>51</v>
      </c>
      <c r="AV218" s="21">
        <f>AW218+AX218</f>
        <v>0</v>
      </c>
      <c r="AW218" s="21">
        <f>F218*AO218</f>
        <v>0</v>
      </c>
      <c r="AX218" s="21">
        <f>F218*AP218</f>
        <v>0</v>
      </c>
      <c r="AY218" s="23" t="s">
        <v>299</v>
      </c>
      <c r="AZ218" s="23" t="s">
        <v>300</v>
      </c>
      <c r="BA218" s="10" t="s">
        <v>58</v>
      </c>
      <c r="BC218" s="21">
        <f>AW218+AX218</f>
        <v>0</v>
      </c>
      <c r="BD218" s="21">
        <f>G218/(100-BE218)*100</f>
        <v>0</v>
      </c>
      <c r="BE218" s="21">
        <v>0</v>
      </c>
      <c r="BF218" s="21">
        <f>L218</f>
        <v>0.0604</v>
      </c>
      <c r="BH218" s="21">
        <f>F218*AO218</f>
        <v>0</v>
      </c>
      <c r="BI218" s="21">
        <f>F218*AP218</f>
        <v>0</v>
      </c>
      <c r="BJ218" s="21">
        <f>F218*G218</f>
        <v>0</v>
      </c>
      <c r="BK218" s="21" t="s">
        <v>201</v>
      </c>
      <c r="BL218" s="21">
        <v>91</v>
      </c>
    </row>
    <row r="219" spans="1:14" ht="15">
      <c r="A219" s="2"/>
      <c r="C219" s="24" t="s">
        <v>71</v>
      </c>
      <c r="D219" s="24" t="s">
        <v>541</v>
      </c>
      <c r="F219" s="25">
        <v>4</v>
      </c>
      <c r="M219" s="26"/>
      <c r="N219" s="2"/>
    </row>
    <row r="220" spans="1:14" ht="25.65" customHeight="1">
      <c r="A220" s="2"/>
      <c r="B220" s="27" t="s">
        <v>61</v>
      </c>
      <c r="C220" s="634" t="s">
        <v>345</v>
      </c>
      <c r="D220" s="635"/>
      <c r="E220" s="635"/>
      <c r="F220" s="635"/>
      <c r="G220" s="635"/>
      <c r="H220" s="635"/>
      <c r="I220" s="635"/>
      <c r="J220" s="635"/>
      <c r="K220" s="635"/>
      <c r="L220" s="635"/>
      <c r="M220" s="636"/>
      <c r="N220" s="2"/>
    </row>
    <row r="221" spans="1:64" ht="15">
      <c r="A221" s="20" t="s">
        <v>542</v>
      </c>
      <c r="B221" s="3" t="s">
        <v>543</v>
      </c>
      <c r="C221" s="618" t="s">
        <v>544</v>
      </c>
      <c r="D221" s="608"/>
      <c r="E221" s="3" t="s">
        <v>260</v>
      </c>
      <c r="F221" s="21">
        <v>1</v>
      </c>
      <c r="G221" s="537"/>
      <c r="H221" s="21">
        <f>F221*AO221</f>
        <v>0</v>
      </c>
      <c r="I221" s="21">
        <f>F221*AP221</f>
        <v>0</v>
      </c>
      <c r="J221" s="21">
        <f>F221*G221</f>
        <v>0</v>
      </c>
      <c r="K221" s="21">
        <v>0.0051</v>
      </c>
      <c r="L221" s="21">
        <f>F221*K221</f>
        <v>0.0051</v>
      </c>
      <c r="M221" s="22" t="s">
        <v>55</v>
      </c>
      <c r="N221" s="2"/>
      <c r="Z221" s="21">
        <f>IF(AQ221="5",BJ221,0)</f>
        <v>0</v>
      </c>
      <c r="AB221" s="21">
        <f>IF(AQ221="1",BH221,0)</f>
        <v>0</v>
      </c>
      <c r="AC221" s="21">
        <f>IF(AQ221="1",BI221,0)</f>
        <v>0</v>
      </c>
      <c r="AD221" s="21">
        <f>IF(AQ221="7",BH221,0)</f>
        <v>0</v>
      </c>
      <c r="AE221" s="21">
        <f>IF(AQ221="7",BI221,0)</f>
        <v>0</v>
      </c>
      <c r="AF221" s="21">
        <f>IF(AQ221="2",BH221,0)</f>
        <v>0</v>
      </c>
      <c r="AG221" s="21">
        <f>IF(AQ221="2",BI221,0)</f>
        <v>0</v>
      </c>
      <c r="AH221" s="21">
        <f>IF(AQ221="0",BJ221,0)</f>
        <v>0</v>
      </c>
      <c r="AI221" s="10"/>
      <c r="AJ221" s="21">
        <f>IF(AN221=0,J221,0)</f>
        <v>0</v>
      </c>
      <c r="AK221" s="21">
        <f>IF(AN221=15,J221,0)</f>
        <v>0</v>
      </c>
      <c r="AL221" s="21">
        <f>IF(AN221=21,J221,0)</f>
        <v>0</v>
      </c>
      <c r="AN221" s="21">
        <v>21</v>
      </c>
      <c r="AO221" s="21">
        <f>G221*1</f>
        <v>0</v>
      </c>
      <c r="AP221" s="21">
        <f>G221*(1-1)</f>
        <v>0</v>
      </c>
      <c r="AQ221" s="23" t="s">
        <v>51</v>
      </c>
      <c r="AV221" s="21">
        <f>AW221+AX221</f>
        <v>0</v>
      </c>
      <c r="AW221" s="21">
        <f>F221*AO221</f>
        <v>0</v>
      </c>
      <c r="AX221" s="21">
        <f>F221*AP221</f>
        <v>0</v>
      </c>
      <c r="AY221" s="23" t="s">
        <v>299</v>
      </c>
      <c r="AZ221" s="23" t="s">
        <v>300</v>
      </c>
      <c r="BA221" s="10" t="s">
        <v>58</v>
      </c>
      <c r="BC221" s="21">
        <f>AW221+AX221</f>
        <v>0</v>
      </c>
      <c r="BD221" s="21">
        <f>G221/(100-BE221)*100</f>
        <v>0</v>
      </c>
      <c r="BE221" s="21">
        <v>0</v>
      </c>
      <c r="BF221" s="21">
        <f>L221</f>
        <v>0.0051</v>
      </c>
      <c r="BH221" s="21">
        <f>F221*AO221</f>
        <v>0</v>
      </c>
      <c r="BI221" s="21">
        <f>F221*AP221</f>
        <v>0</v>
      </c>
      <c r="BJ221" s="21">
        <f>F221*G221</f>
        <v>0</v>
      </c>
      <c r="BK221" s="21" t="s">
        <v>201</v>
      </c>
      <c r="BL221" s="21">
        <v>91</v>
      </c>
    </row>
    <row r="222" spans="1:14" ht="15">
      <c r="A222" s="2"/>
      <c r="C222" s="24" t="s">
        <v>51</v>
      </c>
      <c r="D222" s="24"/>
      <c r="F222" s="25">
        <v>1</v>
      </c>
      <c r="M222" s="26"/>
      <c r="N222" s="2"/>
    </row>
    <row r="223" spans="1:14" ht="51.45" customHeight="1">
      <c r="A223" s="2"/>
      <c r="B223" s="27" t="s">
        <v>61</v>
      </c>
      <c r="C223" s="634" t="s">
        <v>2478</v>
      </c>
      <c r="D223" s="635"/>
      <c r="E223" s="635"/>
      <c r="F223" s="635"/>
      <c r="G223" s="635"/>
      <c r="H223" s="635"/>
      <c r="I223" s="635"/>
      <c r="J223" s="635"/>
      <c r="K223" s="635"/>
      <c r="L223" s="635"/>
      <c r="M223" s="636"/>
      <c r="N223" s="2"/>
    </row>
    <row r="224" spans="1:14" ht="15">
      <c r="A224" s="2"/>
      <c r="C224" s="634" t="s">
        <v>545</v>
      </c>
      <c r="D224" s="635"/>
      <c r="E224" s="635"/>
      <c r="F224" s="635"/>
      <c r="G224" s="635"/>
      <c r="H224" s="635"/>
      <c r="I224" s="635"/>
      <c r="J224" s="635"/>
      <c r="K224" s="635"/>
      <c r="L224" s="635"/>
      <c r="M224" s="636"/>
      <c r="N224" s="2"/>
    </row>
    <row r="225" spans="1:64" ht="15">
      <c r="A225" s="20" t="s">
        <v>546</v>
      </c>
      <c r="B225" s="3" t="s">
        <v>349</v>
      </c>
      <c r="C225" s="618" t="s">
        <v>350</v>
      </c>
      <c r="D225" s="608"/>
      <c r="E225" s="3" t="s">
        <v>260</v>
      </c>
      <c r="F225" s="21">
        <v>4</v>
      </c>
      <c r="G225" s="537"/>
      <c r="H225" s="21">
        <f>F225*AO225</f>
        <v>0</v>
      </c>
      <c r="I225" s="21">
        <f>F225*AP225</f>
        <v>0</v>
      </c>
      <c r="J225" s="21">
        <f>F225*G225</f>
        <v>0</v>
      </c>
      <c r="K225" s="21">
        <v>0.0051</v>
      </c>
      <c r="L225" s="21">
        <f>F225*K225</f>
        <v>0.0204</v>
      </c>
      <c r="M225" s="22" t="s">
        <v>55</v>
      </c>
      <c r="N225" s="2"/>
      <c r="Z225" s="21">
        <f>IF(AQ225="5",BJ225,0)</f>
        <v>0</v>
      </c>
      <c r="AB225" s="21">
        <f>IF(AQ225="1",BH225,0)</f>
        <v>0</v>
      </c>
      <c r="AC225" s="21">
        <f>IF(AQ225="1",BI225,0)</f>
        <v>0</v>
      </c>
      <c r="AD225" s="21">
        <f>IF(AQ225="7",BH225,0)</f>
        <v>0</v>
      </c>
      <c r="AE225" s="21">
        <f>IF(AQ225="7",BI225,0)</f>
        <v>0</v>
      </c>
      <c r="AF225" s="21">
        <f>IF(AQ225="2",BH225,0)</f>
        <v>0</v>
      </c>
      <c r="AG225" s="21">
        <f>IF(AQ225="2",BI225,0)</f>
        <v>0</v>
      </c>
      <c r="AH225" s="21">
        <f>IF(AQ225="0",BJ225,0)</f>
        <v>0</v>
      </c>
      <c r="AI225" s="10"/>
      <c r="AJ225" s="21">
        <f>IF(AN225=0,J225,0)</f>
        <v>0</v>
      </c>
      <c r="AK225" s="21">
        <f>IF(AN225=15,J225,0)</f>
        <v>0</v>
      </c>
      <c r="AL225" s="21">
        <f>IF(AN225=21,J225,0)</f>
        <v>0</v>
      </c>
      <c r="AN225" s="21">
        <v>21</v>
      </c>
      <c r="AO225" s="21">
        <f>G225*1</f>
        <v>0</v>
      </c>
      <c r="AP225" s="21">
        <f>G225*(1-1)</f>
        <v>0</v>
      </c>
      <c r="AQ225" s="23" t="s">
        <v>51</v>
      </c>
      <c r="AV225" s="21">
        <f>AW225+AX225</f>
        <v>0</v>
      </c>
      <c r="AW225" s="21">
        <f>F225*AO225</f>
        <v>0</v>
      </c>
      <c r="AX225" s="21">
        <f>F225*AP225</f>
        <v>0</v>
      </c>
      <c r="AY225" s="23" t="s">
        <v>299</v>
      </c>
      <c r="AZ225" s="23" t="s">
        <v>300</v>
      </c>
      <c r="BA225" s="10" t="s">
        <v>58</v>
      </c>
      <c r="BC225" s="21">
        <f>AW225+AX225</f>
        <v>0</v>
      </c>
      <c r="BD225" s="21">
        <f>G225/(100-BE225)*100</f>
        <v>0</v>
      </c>
      <c r="BE225" s="21">
        <v>0</v>
      </c>
      <c r="BF225" s="21">
        <f>L225</f>
        <v>0.0204</v>
      </c>
      <c r="BH225" s="21">
        <f>F225*AO225</f>
        <v>0</v>
      </c>
      <c r="BI225" s="21">
        <f>F225*AP225</f>
        <v>0</v>
      </c>
      <c r="BJ225" s="21">
        <f>F225*G225</f>
        <v>0</v>
      </c>
      <c r="BK225" s="21" t="s">
        <v>201</v>
      </c>
      <c r="BL225" s="21">
        <v>91</v>
      </c>
    </row>
    <row r="226" spans="1:14" ht="15">
      <c r="A226" s="2"/>
      <c r="C226" s="24" t="s">
        <v>71</v>
      </c>
      <c r="D226" s="24"/>
      <c r="F226" s="25">
        <v>4</v>
      </c>
      <c r="M226" s="26"/>
      <c r="N226" s="2"/>
    </row>
    <row r="227" spans="1:14" ht="25.65" customHeight="1">
      <c r="A227" s="2"/>
      <c r="B227" s="27" t="s">
        <v>61</v>
      </c>
      <c r="C227" s="634" t="s">
        <v>351</v>
      </c>
      <c r="D227" s="635"/>
      <c r="E227" s="635"/>
      <c r="F227" s="635"/>
      <c r="G227" s="635"/>
      <c r="H227" s="635"/>
      <c r="I227" s="635"/>
      <c r="J227" s="635"/>
      <c r="K227" s="635"/>
      <c r="L227" s="635"/>
      <c r="M227" s="636"/>
      <c r="N227" s="2"/>
    </row>
    <row r="228" spans="1:64" ht="15">
      <c r="A228" s="20" t="s">
        <v>547</v>
      </c>
      <c r="B228" s="3" t="s">
        <v>364</v>
      </c>
      <c r="C228" s="618" t="s">
        <v>365</v>
      </c>
      <c r="D228" s="608"/>
      <c r="E228" s="3" t="s">
        <v>260</v>
      </c>
      <c r="F228" s="21">
        <v>4</v>
      </c>
      <c r="G228" s="537"/>
      <c r="H228" s="21">
        <f>F228*AO228</f>
        <v>0</v>
      </c>
      <c r="I228" s="21">
        <f>F228*AP228</f>
        <v>0</v>
      </c>
      <c r="J228" s="21">
        <f>F228*G228</f>
        <v>0</v>
      </c>
      <c r="K228" s="21">
        <v>0</v>
      </c>
      <c r="L228" s="21">
        <f>F228*K228</f>
        <v>0</v>
      </c>
      <c r="M228" s="22" t="s">
        <v>55</v>
      </c>
      <c r="N228" s="2"/>
      <c r="Z228" s="21">
        <f>IF(AQ228="5",BJ228,0)</f>
        <v>0</v>
      </c>
      <c r="AB228" s="21">
        <f>IF(AQ228="1",BH228,0)</f>
        <v>0</v>
      </c>
      <c r="AC228" s="21">
        <f>IF(AQ228="1",BI228,0)</f>
        <v>0</v>
      </c>
      <c r="AD228" s="21">
        <f>IF(AQ228="7",BH228,0)</f>
        <v>0</v>
      </c>
      <c r="AE228" s="21">
        <f>IF(AQ228="7",BI228,0)</f>
        <v>0</v>
      </c>
      <c r="AF228" s="21">
        <f>IF(AQ228="2",BH228,0)</f>
        <v>0</v>
      </c>
      <c r="AG228" s="21">
        <f>IF(AQ228="2",BI228,0)</f>
        <v>0</v>
      </c>
      <c r="AH228" s="21">
        <f>IF(AQ228="0",BJ228,0)</f>
        <v>0</v>
      </c>
      <c r="AI228" s="10"/>
      <c r="AJ228" s="21">
        <f>IF(AN228=0,J228,0)</f>
        <v>0</v>
      </c>
      <c r="AK228" s="21">
        <f>IF(AN228=15,J228,0)</f>
        <v>0</v>
      </c>
      <c r="AL228" s="21">
        <f>IF(AN228=21,J228,0)</f>
        <v>0</v>
      </c>
      <c r="AN228" s="21">
        <v>21</v>
      </c>
      <c r="AO228" s="21">
        <f>G228*0.642147039176392</f>
        <v>0</v>
      </c>
      <c r="AP228" s="21">
        <f>G228*(1-0.642147039176392)</f>
        <v>0</v>
      </c>
      <c r="AQ228" s="23" t="s">
        <v>51</v>
      </c>
      <c r="AV228" s="21">
        <f>AW228+AX228</f>
        <v>0</v>
      </c>
      <c r="AW228" s="21">
        <f>F228*AO228</f>
        <v>0</v>
      </c>
      <c r="AX228" s="21">
        <f>F228*AP228</f>
        <v>0</v>
      </c>
      <c r="AY228" s="23" t="s">
        <v>299</v>
      </c>
      <c r="AZ228" s="23" t="s">
        <v>300</v>
      </c>
      <c r="BA228" s="10" t="s">
        <v>58</v>
      </c>
      <c r="BC228" s="21">
        <f>AW228+AX228</f>
        <v>0</v>
      </c>
      <c r="BD228" s="21">
        <f>G228/(100-BE228)*100</f>
        <v>0</v>
      </c>
      <c r="BE228" s="21">
        <v>0</v>
      </c>
      <c r="BF228" s="21">
        <f>L228</f>
        <v>0</v>
      </c>
      <c r="BH228" s="21">
        <f>F228*AO228</f>
        <v>0</v>
      </c>
      <c r="BI228" s="21">
        <f>F228*AP228</f>
        <v>0</v>
      </c>
      <c r="BJ228" s="21">
        <f>F228*G228</f>
        <v>0</v>
      </c>
      <c r="BK228" s="21" t="s">
        <v>59</v>
      </c>
      <c r="BL228" s="21">
        <v>91</v>
      </c>
    </row>
    <row r="229" spans="1:14" ht="15">
      <c r="A229" s="2"/>
      <c r="C229" s="24" t="s">
        <v>71</v>
      </c>
      <c r="D229" s="24"/>
      <c r="F229" s="25">
        <v>4</v>
      </c>
      <c r="M229" s="26"/>
      <c r="N229" s="2"/>
    </row>
    <row r="230" spans="1:14" ht="15">
      <c r="A230" s="2"/>
      <c r="B230" s="27" t="s">
        <v>61</v>
      </c>
      <c r="C230" s="634" t="s">
        <v>366</v>
      </c>
      <c r="D230" s="635"/>
      <c r="E230" s="635"/>
      <c r="F230" s="635"/>
      <c r="G230" s="635"/>
      <c r="H230" s="635"/>
      <c r="I230" s="635"/>
      <c r="J230" s="635"/>
      <c r="K230" s="635"/>
      <c r="L230" s="635"/>
      <c r="M230" s="636"/>
      <c r="N230" s="2"/>
    </row>
    <row r="231" spans="1:64" ht="15">
      <c r="A231" s="20" t="s">
        <v>548</v>
      </c>
      <c r="B231" s="3" t="s">
        <v>360</v>
      </c>
      <c r="C231" s="618" t="s">
        <v>361</v>
      </c>
      <c r="D231" s="608"/>
      <c r="E231" s="3" t="s">
        <v>260</v>
      </c>
      <c r="F231" s="21">
        <v>4</v>
      </c>
      <c r="G231" s="537"/>
      <c r="H231" s="21">
        <f>F231*AO231</f>
        <v>0</v>
      </c>
      <c r="I231" s="21">
        <f>F231*AP231</f>
        <v>0</v>
      </c>
      <c r="J231" s="21">
        <f>F231*G231</f>
        <v>0</v>
      </c>
      <c r="K231" s="21">
        <v>0.2266</v>
      </c>
      <c r="L231" s="21">
        <f>F231*K231</f>
        <v>0.9064</v>
      </c>
      <c r="M231" s="22" t="s">
        <v>55</v>
      </c>
      <c r="N231" s="2"/>
      <c r="Z231" s="21">
        <f>IF(AQ231="5",BJ231,0)</f>
        <v>0</v>
      </c>
      <c r="AB231" s="21">
        <f>IF(AQ231="1",BH231,0)</f>
        <v>0</v>
      </c>
      <c r="AC231" s="21">
        <f>IF(AQ231="1",BI231,0)</f>
        <v>0</v>
      </c>
      <c r="AD231" s="21">
        <f>IF(AQ231="7",BH231,0)</f>
        <v>0</v>
      </c>
      <c r="AE231" s="21">
        <f>IF(AQ231="7",BI231,0)</f>
        <v>0</v>
      </c>
      <c r="AF231" s="21">
        <f>IF(AQ231="2",BH231,0)</f>
        <v>0</v>
      </c>
      <c r="AG231" s="21">
        <f>IF(AQ231="2",BI231,0)</f>
        <v>0</v>
      </c>
      <c r="AH231" s="21">
        <f>IF(AQ231="0",BJ231,0)</f>
        <v>0</v>
      </c>
      <c r="AI231" s="10"/>
      <c r="AJ231" s="21">
        <f>IF(AN231=0,J231,0)</f>
        <v>0</v>
      </c>
      <c r="AK231" s="21">
        <f>IF(AN231=15,J231,0)</f>
        <v>0</v>
      </c>
      <c r="AL231" s="21">
        <f>IF(AN231=21,J231,0)</f>
        <v>0</v>
      </c>
      <c r="AN231" s="21">
        <v>21</v>
      </c>
      <c r="AO231" s="21">
        <f>G231*0.628404444444444</f>
        <v>0</v>
      </c>
      <c r="AP231" s="21">
        <f>G231*(1-0.628404444444444)</f>
        <v>0</v>
      </c>
      <c r="AQ231" s="23" t="s">
        <v>51</v>
      </c>
      <c r="AV231" s="21">
        <f>AW231+AX231</f>
        <v>0</v>
      </c>
      <c r="AW231" s="21">
        <f>F231*AO231</f>
        <v>0</v>
      </c>
      <c r="AX231" s="21">
        <f>F231*AP231</f>
        <v>0</v>
      </c>
      <c r="AY231" s="23" t="s">
        <v>299</v>
      </c>
      <c r="AZ231" s="23" t="s">
        <v>300</v>
      </c>
      <c r="BA231" s="10" t="s">
        <v>58</v>
      </c>
      <c r="BC231" s="21">
        <f>AW231+AX231</f>
        <v>0</v>
      </c>
      <c r="BD231" s="21">
        <f>G231/(100-BE231)*100</f>
        <v>0</v>
      </c>
      <c r="BE231" s="21">
        <v>0</v>
      </c>
      <c r="BF231" s="21">
        <f>L231</f>
        <v>0.9064</v>
      </c>
      <c r="BH231" s="21">
        <f>F231*AO231</f>
        <v>0</v>
      </c>
      <c r="BI231" s="21">
        <f>F231*AP231</f>
        <v>0</v>
      </c>
      <c r="BJ231" s="21">
        <f>F231*G231</f>
        <v>0</v>
      </c>
      <c r="BK231" s="21" t="s">
        <v>59</v>
      </c>
      <c r="BL231" s="21">
        <v>91</v>
      </c>
    </row>
    <row r="232" spans="1:14" ht="15">
      <c r="A232" s="2"/>
      <c r="C232" s="24" t="s">
        <v>71</v>
      </c>
      <c r="D232" s="24"/>
      <c r="F232" s="25">
        <v>4</v>
      </c>
      <c r="M232" s="26"/>
      <c r="N232" s="2"/>
    </row>
    <row r="233" spans="1:14" ht="15">
      <c r="A233" s="2"/>
      <c r="B233" s="27" t="s">
        <v>61</v>
      </c>
      <c r="C233" s="634" t="s">
        <v>362</v>
      </c>
      <c r="D233" s="635"/>
      <c r="E233" s="635"/>
      <c r="F233" s="635"/>
      <c r="G233" s="635"/>
      <c r="H233" s="635"/>
      <c r="I233" s="635"/>
      <c r="J233" s="635"/>
      <c r="K233" s="635"/>
      <c r="L233" s="635"/>
      <c r="M233" s="636"/>
      <c r="N233" s="2"/>
    </row>
    <row r="234" spans="1:64" ht="15">
      <c r="A234" s="20" t="s">
        <v>549</v>
      </c>
      <c r="B234" s="3" t="s">
        <v>550</v>
      </c>
      <c r="C234" s="618" t="s">
        <v>551</v>
      </c>
      <c r="D234" s="608"/>
      <c r="E234" s="3" t="s">
        <v>260</v>
      </c>
      <c r="F234" s="21">
        <v>2</v>
      </c>
      <c r="G234" s="537"/>
      <c r="H234" s="21">
        <f>F234*AO234</f>
        <v>0</v>
      </c>
      <c r="I234" s="21">
        <f>F234*AP234</f>
        <v>0</v>
      </c>
      <c r="J234" s="21">
        <f>F234*G234</f>
        <v>0</v>
      </c>
      <c r="K234" s="21">
        <v>0</v>
      </c>
      <c r="L234" s="21">
        <f>F234*K234</f>
        <v>0</v>
      </c>
      <c r="M234" s="539" t="s">
        <v>2130</v>
      </c>
      <c r="N234" s="2"/>
      <c r="Z234" s="21">
        <f>IF(AQ234="5",BJ234,0)</f>
        <v>0</v>
      </c>
      <c r="AB234" s="21">
        <f>IF(AQ234="1",BH234,0)</f>
        <v>0</v>
      </c>
      <c r="AC234" s="21">
        <f>IF(AQ234="1",BI234,0)</f>
        <v>0</v>
      </c>
      <c r="AD234" s="21">
        <f>IF(AQ234="7",BH234,0)</f>
        <v>0</v>
      </c>
      <c r="AE234" s="21">
        <f>IF(AQ234="7",BI234,0)</f>
        <v>0</v>
      </c>
      <c r="AF234" s="21">
        <f>IF(AQ234="2",BH234,0)</f>
        <v>0</v>
      </c>
      <c r="AG234" s="21">
        <f>IF(AQ234="2",BI234,0)</f>
        <v>0</v>
      </c>
      <c r="AH234" s="21">
        <f>IF(AQ234="0",BJ234,0)</f>
        <v>0</v>
      </c>
      <c r="AI234" s="10"/>
      <c r="AJ234" s="21">
        <f>IF(AN234=0,J234,0)</f>
        <v>0</v>
      </c>
      <c r="AK234" s="21">
        <f>IF(AN234=15,J234,0)</f>
        <v>0</v>
      </c>
      <c r="AL234" s="21">
        <f>IF(AN234=21,J234,0)</f>
        <v>0</v>
      </c>
      <c r="AN234" s="21">
        <v>21</v>
      </c>
      <c r="AO234" s="21">
        <f>G234*0.43955</f>
        <v>0</v>
      </c>
      <c r="AP234" s="21">
        <f>G234*(1-0.43955)</f>
        <v>0</v>
      </c>
      <c r="AQ234" s="23" t="s">
        <v>51</v>
      </c>
      <c r="AV234" s="21">
        <f>AW234+AX234</f>
        <v>0</v>
      </c>
      <c r="AW234" s="21">
        <f>F234*AO234</f>
        <v>0</v>
      </c>
      <c r="AX234" s="21">
        <f>F234*AP234</f>
        <v>0</v>
      </c>
      <c r="AY234" s="23" t="s">
        <v>299</v>
      </c>
      <c r="AZ234" s="23" t="s">
        <v>300</v>
      </c>
      <c r="BA234" s="10" t="s">
        <v>58</v>
      </c>
      <c r="BC234" s="21">
        <f>AW234+AX234</f>
        <v>0</v>
      </c>
      <c r="BD234" s="21">
        <f>G234/(100-BE234)*100</f>
        <v>0</v>
      </c>
      <c r="BE234" s="21">
        <v>0</v>
      </c>
      <c r="BF234" s="21">
        <f>L234</f>
        <v>0</v>
      </c>
      <c r="BH234" s="21">
        <f>F234*AO234</f>
        <v>0</v>
      </c>
      <c r="BI234" s="21">
        <f>F234*AP234</f>
        <v>0</v>
      </c>
      <c r="BJ234" s="21">
        <f>F234*G234</f>
        <v>0</v>
      </c>
      <c r="BK234" s="21" t="s">
        <v>59</v>
      </c>
      <c r="BL234" s="21">
        <v>91</v>
      </c>
    </row>
    <row r="235" spans="1:14" ht="15">
      <c r="A235" s="2"/>
      <c r="C235" s="24" t="s">
        <v>63</v>
      </c>
      <c r="D235" s="24"/>
      <c r="F235" s="25">
        <v>2</v>
      </c>
      <c r="M235" s="26"/>
      <c r="N235" s="2"/>
    </row>
    <row r="236" spans="1:14" ht="15">
      <c r="A236" s="2"/>
      <c r="B236" s="27" t="s">
        <v>61</v>
      </c>
      <c r="C236" s="634" t="s">
        <v>366</v>
      </c>
      <c r="D236" s="635"/>
      <c r="E236" s="635"/>
      <c r="F236" s="635"/>
      <c r="G236" s="635"/>
      <c r="H236" s="635"/>
      <c r="I236" s="635"/>
      <c r="J236" s="635"/>
      <c r="K236" s="635"/>
      <c r="L236" s="635"/>
      <c r="M236" s="636"/>
      <c r="N236" s="2"/>
    </row>
    <row r="237" spans="1:64" ht="15">
      <c r="A237" s="20" t="s">
        <v>552</v>
      </c>
      <c r="B237" s="3" t="s">
        <v>553</v>
      </c>
      <c r="C237" s="618" t="s">
        <v>554</v>
      </c>
      <c r="D237" s="608"/>
      <c r="E237" s="3" t="s">
        <v>74</v>
      </c>
      <c r="F237" s="21">
        <v>35</v>
      </c>
      <c r="G237" s="537"/>
      <c r="H237" s="21">
        <f>F237*AO237</f>
        <v>0</v>
      </c>
      <c r="I237" s="21">
        <f>F237*AP237</f>
        <v>0</v>
      </c>
      <c r="J237" s="21">
        <f>F237*G237</f>
        <v>0</v>
      </c>
      <c r="K237" s="21">
        <v>0</v>
      </c>
      <c r="L237" s="21">
        <f>F237*K237</f>
        <v>0</v>
      </c>
      <c r="M237" s="22" t="s">
        <v>55</v>
      </c>
      <c r="N237" s="2"/>
      <c r="Z237" s="21">
        <f>IF(AQ237="5",BJ237,0)</f>
        <v>0</v>
      </c>
      <c r="AB237" s="21">
        <f>IF(AQ237="1",BH237,0)</f>
        <v>0</v>
      </c>
      <c r="AC237" s="21">
        <f>IF(AQ237="1",BI237,0)</f>
        <v>0</v>
      </c>
      <c r="AD237" s="21">
        <f>IF(AQ237="7",BH237,0)</f>
        <v>0</v>
      </c>
      <c r="AE237" s="21">
        <f>IF(AQ237="7",BI237,0)</f>
        <v>0</v>
      </c>
      <c r="AF237" s="21">
        <f>IF(AQ237="2",BH237,0)</f>
        <v>0</v>
      </c>
      <c r="AG237" s="21">
        <f>IF(AQ237="2",BI237,0)</f>
        <v>0</v>
      </c>
      <c r="AH237" s="21">
        <f>IF(AQ237="0",BJ237,0)</f>
        <v>0</v>
      </c>
      <c r="AI237" s="10"/>
      <c r="AJ237" s="21">
        <f>IF(AN237=0,J237,0)</f>
        <v>0</v>
      </c>
      <c r="AK237" s="21">
        <f>IF(AN237=15,J237,0)</f>
        <v>0</v>
      </c>
      <c r="AL237" s="21">
        <f>IF(AN237=21,J237,0)</f>
        <v>0</v>
      </c>
      <c r="AN237" s="21">
        <v>21</v>
      </c>
      <c r="AO237" s="21">
        <f>G237*0.503429602888087</f>
        <v>0</v>
      </c>
      <c r="AP237" s="21">
        <f>G237*(1-0.503429602888087)</f>
        <v>0</v>
      </c>
      <c r="AQ237" s="23" t="s">
        <v>51</v>
      </c>
      <c r="AV237" s="21">
        <f>AW237+AX237</f>
        <v>0</v>
      </c>
      <c r="AW237" s="21">
        <f>F237*AO237</f>
        <v>0</v>
      </c>
      <c r="AX237" s="21">
        <f>F237*AP237</f>
        <v>0</v>
      </c>
      <c r="AY237" s="23" t="s">
        <v>299</v>
      </c>
      <c r="AZ237" s="23" t="s">
        <v>300</v>
      </c>
      <c r="BA237" s="10" t="s">
        <v>58</v>
      </c>
      <c r="BC237" s="21">
        <f>AW237+AX237</f>
        <v>0</v>
      </c>
      <c r="BD237" s="21">
        <f>G237/(100-BE237)*100</f>
        <v>0</v>
      </c>
      <c r="BE237" s="21">
        <v>0</v>
      </c>
      <c r="BF237" s="21">
        <f>L237</f>
        <v>0</v>
      </c>
      <c r="BH237" s="21">
        <f>F237*AO237</f>
        <v>0</v>
      </c>
      <c r="BI237" s="21">
        <f>F237*AP237</f>
        <v>0</v>
      </c>
      <c r="BJ237" s="21">
        <f>F237*G237</f>
        <v>0</v>
      </c>
      <c r="BK237" s="21" t="s">
        <v>59</v>
      </c>
      <c r="BL237" s="21">
        <v>91</v>
      </c>
    </row>
    <row r="238" spans="1:14" ht="15">
      <c r="A238" s="2"/>
      <c r="C238" s="24" t="s">
        <v>112</v>
      </c>
      <c r="D238" s="24"/>
      <c r="F238" s="25">
        <v>35</v>
      </c>
      <c r="M238" s="26"/>
      <c r="N238" s="2"/>
    </row>
    <row r="239" spans="1:14" ht="15">
      <c r="A239" s="2"/>
      <c r="B239" s="27" t="s">
        <v>61</v>
      </c>
      <c r="C239" s="634" t="s">
        <v>555</v>
      </c>
      <c r="D239" s="635"/>
      <c r="E239" s="635"/>
      <c r="F239" s="635"/>
      <c r="G239" s="635"/>
      <c r="H239" s="635"/>
      <c r="I239" s="635"/>
      <c r="J239" s="635"/>
      <c r="K239" s="635"/>
      <c r="L239" s="635"/>
      <c r="M239" s="636"/>
      <c r="N239" s="2"/>
    </row>
    <row r="240" spans="1:64" ht="15">
      <c r="A240" s="20" t="s">
        <v>556</v>
      </c>
      <c r="B240" s="3" t="s">
        <v>557</v>
      </c>
      <c r="C240" s="618" t="s">
        <v>558</v>
      </c>
      <c r="D240" s="608"/>
      <c r="E240" s="3" t="s">
        <v>74</v>
      </c>
      <c r="F240" s="21">
        <v>35</v>
      </c>
      <c r="G240" s="537"/>
      <c r="H240" s="21">
        <f>F240*AO240</f>
        <v>0</v>
      </c>
      <c r="I240" s="21">
        <f>F240*AP240</f>
        <v>0</v>
      </c>
      <c r="J240" s="21">
        <f>F240*G240</f>
        <v>0</v>
      </c>
      <c r="K240" s="21">
        <v>2E-05</v>
      </c>
      <c r="L240" s="21">
        <f>F240*K240</f>
        <v>0.0007000000000000001</v>
      </c>
      <c r="M240" s="539" t="s">
        <v>2130</v>
      </c>
      <c r="N240" s="2"/>
      <c r="Z240" s="21">
        <f>IF(AQ240="5",BJ240,0)</f>
        <v>0</v>
      </c>
      <c r="AB240" s="21">
        <f>IF(AQ240="1",BH240,0)</f>
        <v>0</v>
      </c>
      <c r="AC240" s="21">
        <f>IF(AQ240="1",BI240,0)</f>
        <v>0</v>
      </c>
      <c r="AD240" s="21">
        <f>IF(AQ240="7",BH240,0)</f>
        <v>0</v>
      </c>
      <c r="AE240" s="21">
        <f>IF(AQ240="7",BI240,0)</f>
        <v>0</v>
      </c>
      <c r="AF240" s="21">
        <f>IF(AQ240="2",BH240,0)</f>
        <v>0</v>
      </c>
      <c r="AG240" s="21">
        <f>IF(AQ240="2",BI240,0)</f>
        <v>0</v>
      </c>
      <c r="AH240" s="21">
        <f>IF(AQ240="0",BJ240,0)</f>
        <v>0</v>
      </c>
      <c r="AI240" s="10"/>
      <c r="AJ240" s="21">
        <f>IF(AN240=0,J240,0)</f>
        <v>0</v>
      </c>
      <c r="AK240" s="21">
        <f>IF(AN240=15,J240,0)</f>
        <v>0</v>
      </c>
      <c r="AL240" s="21">
        <f>IF(AN240=21,J240,0)</f>
        <v>0</v>
      </c>
      <c r="AN240" s="21">
        <v>21</v>
      </c>
      <c r="AO240" s="21">
        <f>G240*0.297666666666667</f>
        <v>0</v>
      </c>
      <c r="AP240" s="21">
        <f>G240*(1-0.297666666666667)</f>
        <v>0</v>
      </c>
      <c r="AQ240" s="23" t="s">
        <v>51</v>
      </c>
      <c r="AV240" s="21">
        <f>AW240+AX240</f>
        <v>0</v>
      </c>
      <c r="AW240" s="21">
        <f>F240*AO240</f>
        <v>0</v>
      </c>
      <c r="AX240" s="21">
        <f>F240*AP240</f>
        <v>0</v>
      </c>
      <c r="AY240" s="23" t="s">
        <v>299</v>
      </c>
      <c r="AZ240" s="23" t="s">
        <v>300</v>
      </c>
      <c r="BA240" s="10" t="s">
        <v>58</v>
      </c>
      <c r="BC240" s="21">
        <f>AW240+AX240</f>
        <v>0</v>
      </c>
      <c r="BD240" s="21">
        <f>G240/(100-BE240)*100</f>
        <v>0</v>
      </c>
      <c r="BE240" s="21">
        <v>0</v>
      </c>
      <c r="BF240" s="21">
        <f>L240</f>
        <v>0.0007000000000000001</v>
      </c>
      <c r="BH240" s="21">
        <f>F240*AO240</f>
        <v>0</v>
      </c>
      <c r="BI240" s="21">
        <f>F240*AP240</f>
        <v>0</v>
      </c>
      <c r="BJ240" s="21">
        <f>F240*G240</f>
        <v>0</v>
      </c>
      <c r="BK240" s="21" t="s">
        <v>59</v>
      </c>
      <c r="BL240" s="21">
        <v>91</v>
      </c>
    </row>
    <row r="241" spans="1:14" ht="15">
      <c r="A241" s="2"/>
      <c r="C241" s="24" t="s">
        <v>112</v>
      </c>
      <c r="D241" s="24"/>
      <c r="F241" s="25">
        <v>35</v>
      </c>
      <c r="M241" s="26"/>
      <c r="N241" s="2"/>
    </row>
    <row r="242" spans="1:47" ht="15">
      <c r="A242" s="41"/>
      <c r="B242" s="42" t="s">
        <v>375</v>
      </c>
      <c r="C242" s="637" t="s">
        <v>376</v>
      </c>
      <c r="D242" s="638"/>
      <c r="E242" s="43" t="s">
        <v>4</v>
      </c>
      <c r="F242" s="43" t="s">
        <v>4</v>
      </c>
      <c r="G242" s="43" t="s">
        <v>4</v>
      </c>
      <c r="H242" s="44">
        <f>SUM(H243:H249)</f>
        <v>0</v>
      </c>
      <c r="I242" s="44">
        <f>SUM(I243:I249)</f>
        <v>0</v>
      </c>
      <c r="J242" s="44">
        <f>SUM(J243:J249)</f>
        <v>0</v>
      </c>
      <c r="K242" s="45"/>
      <c r="L242" s="44">
        <f>SUM(L243:L249)</f>
        <v>0</v>
      </c>
      <c r="M242" s="46"/>
      <c r="N242" s="2"/>
      <c r="AI242" s="10"/>
      <c r="AS242" s="19">
        <f>SUM(AJ243:AJ249)</f>
        <v>0</v>
      </c>
      <c r="AT242" s="19">
        <f>SUM(AK243:AK249)</f>
        <v>0</v>
      </c>
      <c r="AU242" s="19">
        <f>SUM(AL243:AL249)</f>
        <v>0</v>
      </c>
    </row>
    <row r="243" spans="1:64" ht="15">
      <c r="A243" s="20" t="s">
        <v>559</v>
      </c>
      <c r="B243" s="3" t="s">
        <v>378</v>
      </c>
      <c r="C243" s="618" t="s">
        <v>379</v>
      </c>
      <c r="D243" s="608"/>
      <c r="E243" s="3" t="s">
        <v>125</v>
      </c>
      <c r="F243" s="21">
        <v>734.1517</v>
      </c>
      <c r="G243" s="537"/>
      <c r="H243" s="21">
        <f>F243*AO243</f>
        <v>0</v>
      </c>
      <c r="I243" s="21">
        <f>F243*AP243</f>
        <v>0</v>
      </c>
      <c r="J243" s="21">
        <f>F243*G243</f>
        <v>0</v>
      </c>
      <c r="K243" s="21">
        <v>0</v>
      </c>
      <c r="L243" s="21">
        <f>F243*K243</f>
        <v>0</v>
      </c>
      <c r="M243" s="22" t="s">
        <v>55</v>
      </c>
      <c r="N243" s="2"/>
      <c r="Z243" s="21">
        <f>IF(AQ243="5",BJ243,0)</f>
        <v>0</v>
      </c>
      <c r="AB243" s="21">
        <f>IF(AQ243="1",BH243,0)</f>
        <v>0</v>
      </c>
      <c r="AC243" s="21">
        <f>IF(AQ243="1",BI243,0)</f>
        <v>0</v>
      </c>
      <c r="AD243" s="21">
        <f>IF(AQ243="7",BH243,0)</f>
        <v>0</v>
      </c>
      <c r="AE243" s="21">
        <f>IF(AQ243="7",BI243,0)</f>
        <v>0</v>
      </c>
      <c r="AF243" s="21">
        <f>IF(AQ243="2",BH243,0)</f>
        <v>0</v>
      </c>
      <c r="AG243" s="21">
        <f>IF(AQ243="2",BI243,0)</f>
        <v>0</v>
      </c>
      <c r="AH243" s="21">
        <f>IF(AQ243="0",BJ243,0)</f>
        <v>0</v>
      </c>
      <c r="AI243" s="10"/>
      <c r="AJ243" s="21">
        <f>IF(AN243=0,J243,0)</f>
        <v>0</v>
      </c>
      <c r="AK243" s="21">
        <f>IF(AN243=15,J243,0)</f>
        <v>0</v>
      </c>
      <c r="AL243" s="21">
        <f>IF(AN243=21,J243,0)</f>
        <v>0</v>
      </c>
      <c r="AN243" s="21">
        <v>21</v>
      </c>
      <c r="AO243" s="21">
        <f>G243*0.0129981378982205</f>
        <v>0</v>
      </c>
      <c r="AP243" s="21">
        <f>G243*(1-0.0129981378982205)</f>
        <v>0</v>
      </c>
      <c r="AQ243" s="23" t="s">
        <v>78</v>
      </c>
      <c r="AV243" s="21">
        <f>AW243+AX243</f>
        <v>0</v>
      </c>
      <c r="AW243" s="21">
        <f>F243*AO243</f>
        <v>0</v>
      </c>
      <c r="AX243" s="21">
        <f>F243*AP243</f>
        <v>0</v>
      </c>
      <c r="AY243" s="23" t="s">
        <v>380</v>
      </c>
      <c r="AZ243" s="23" t="s">
        <v>300</v>
      </c>
      <c r="BA243" s="10" t="s">
        <v>58</v>
      </c>
      <c r="BC243" s="21">
        <f>AW243+AX243</f>
        <v>0</v>
      </c>
      <c r="BD243" s="21">
        <f>G243/(100-BE243)*100</f>
        <v>0</v>
      </c>
      <c r="BE243" s="21">
        <v>0</v>
      </c>
      <c r="BF243" s="21">
        <f>L243</f>
        <v>0</v>
      </c>
      <c r="BH243" s="21">
        <f>F243*AO243</f>
        <v>0</v>
      </c>
      <c r="BI243" s="21">
        <f>F243*AP243</f>
        <v>0</v>
      </c>
      <c r="BJ243" s="21">
        <f>F243*G243</f>
        <v>0</v>
      </c>
      <c r="BK243" s="21" t="s">
        <v>59</v>
      </c>
      <c r="BL243" s="21" t="s">
        <v>375</v>
      </c>
    </row>
    <row r="244" spans="1:14" ht="15">
      <c r="A244" s="2"/>
      <c r="B244" s="27" t="s">
        <v>61</v>
      </c>
      <c r="C244" s="634" t="s">
        <v>381</v>
      </c>
      <c r="D244" s="635"/>
      <c r="E244" s="635"/>
      <c r="F244" s="635"/>
      <c r="G244" s="635"/>
      <c r="H244" s="635"/>
      <c r="I244" s="635"/>
      <c r="J244" s="635"/>
      <c r="K244" s="635"/>
      <c r="L244" s="635"/>
      <c r="M244" s="636"/>
      <c r="N244" s="2"/>
    </row>
    <row r="245" spans="1:64" ht="15">
      <c r="A245" s="20" t="s">
        <v>560</v>
      </c>
      <c r="B245" s="3" t="s">
        <v>383</v>
      </c>
      <c r="C245" s="618" t="s">
        <v>384</v>
      </c>
      <c r="D245" s="608"/>
      <c r="E245" s="3" t="s">
        <v>125</v>
      </c>
      <c r="F245" s="21">
        <v>13.77</v>
      </c>
      <c r="G245" s="537"/>
      <c r="H245" s="21">
        <f>F245*AO245</f>
        <v>0</v>
      </c>
      <c r="I245" s="21">
        <f>F245*AP245</f>
        <v>0</v>
      </c>
      <c r="J245" s="21">
        <f>F245*G245</f>
        <v>0</v>
      </c>
      <c r="K245" s="21">
        <v>0</v>
      </c>
      <c r="L245" s="21">
        <f>F245*K245</f>
        <v>0</v>
      </c>
      <c r="M245" s="22" t="s">
        <v>55</v>
      </c>
      <c r="N245" s="2"/>
      <c r="Z245" s="21">
        <f>IF(AQ245="5",BJ245,0)</f>
        <v>0</v>
      </c>
      <c r="AB245" s="21">
        <f>IF(AQ245="1",BH245,0)</f>
        <v>0</v>
      </c>
      <c r="AC245" s="21">
        <f>IF(AQ245="1",BI245,0)</f>
        <v>0</v>
      </c>
      <c r="AD245" s="21">
        <f>IF(AQ245="7",BH245,0)</f>
        <v>0</v>
      </c>
      <c r="AE245" s="21">
        <f>IF(AQ245="7",BI245,0)</f>
        <v>0</v>
      </c>
      <c r="AF245" s="21">
        <f>IF(AQ245="2",BH245,0)</f>
        <v>0</v>
      </c>
      <c r="AG245" s="21">
        <f>IF(AQ245="2",BI245,0)</f>
        <v>0</v>
      </c>
      <c r="AH245" s="21">
        <f>IF(AQ245="0",BJ245,0)</f>
        <v>0</v>
      </c>
      <c r="AI245" s="10"/>
      <c r="AJ245" s="21">
        <f>IF(AN245=0,J245,0)</f>
        <v>0</v>
      </c>
      <c r="AK245" s="21">
        <f>IF(AN245=15,J245,0)</f>
        <v>0</v>
      </c>
      <c r="AL245" s="21">
        <f>IF(AN245=21,J245,0)</f>
        <v>0</v>
      </c>
      <c r="AN245" s="21">
        <v>21</v>
      </c>
      <c r="AO245" s="21">
        <f>G245*0</f>
        <v>0</v>
      </c>
      <c r="AP245" s="21">
        <f>G245*(1-0)</f>
        <v>0</v>
      </c>
      <c r="AQ245" s="23" t="s">
        <v>78</v>
      </c>
      <c r="AV245" s="21">
        <f>AW245+AX245</f>
        <v>0</v>
      </c>
      <c r="AW245" s="21">
        <f>F245*AO245</f>
        <v>0</v>
      </c>
      <c r="AX245" s="21">
        <f>F245*AP245</f>
        <v>0</v>
      </c>
      <c r="AY245" s="23" t="s">
        <v>380</v>
      </c>
      <c r="AZ245" s="23" t="s">
        <v>300</v>
      </c>
      <c r="BA245" s="10" t="s">
        <v>58</v>
      </c>
      <c r="BC245" s="21">
        <f>AW245+AX245</f>
        <v>0</v>
      </c>
      <c r="BD245" s="21">
        <f>G245/(100-BE245)*100</f>
        <v>0</v>
      </c>
      <c r="BE245" s="21">
        <v>0</v>
      </c>
      <c r="BF245" s="21">
        <f>L245</f>
        <v>0</v>
      </c>
      <c r="BH245" s="21">
        <f>F245*AO245</f>
        <v>0</v>
      </c>
      <c r="BI245" s="21">
        <f>F245*AP245</f>
        <v>0</v>
      </c>
      <c r="BJ245" s="21">
        <f>F245*G245</f>
        <v>0</v>
      </c>
      <c r="BK245" s="21" t="s">
        <v>59</v>
      </c>
      <c r="BL245" s="21" t="s">
        <v>375</v>
      </c>
    </row>
    <row r="246" spans="1:64" ht="15">
      <c r="A246" s="20" t="s">
        <v>561</v>
      </c>
      <c r="B246" s="3" t="s">
        <v>386</v>
      </c>
      <c r="C246" s="618" t="s">
        <v>387</v>
      </c>
      <c r="D246" s="608"/>
      <c r="E246" s="3" t="s">
        <v>125</v>
      </c>
      <c r="F246" s="21">
        <v>34.738</v>
      </c>
      <c r="G246" s="537"/>
      <c r="H246" s="21">
        <f>F246*AO246</f>
        <v>0</v>
      </c>
      <c r="I246" s="21">
        <f>F246*AP246</f>
        <v>0</v>
      </c>
      <c r="J246" s="21">
        <f>F246*G246</f>
        <v>0</v>
      </c>
      <c r="K246" s="21">
        <v>0</v>
      </c>
      <c r="L246" s="21">
        <f>F246*K246</f>
        <v>0</v>
      </c>
      <c r="M246" s="539" t="s">
        <v>2130</v>
      </c>
      <c r="N246" s="2"/>
      <c r="Z246" s="21">
        <f>IF(AQ246="5",BJ246,0)</f>
        <v>0</v>
      </c>
      <c r="AB246" s="21">
        <f>IF(AQ246="1",BH246,0)</f>
        <v>0</v>
      </c>
      <c r="AC246" s="21">
        <f>IF(AQ246="1",BI246,0)</f>
        <v>0</v>
      </c>
      <c r="AD246" s="21">
        <f>IF(AQ246="7",BH246,0)</f>
        <v>0</v>
      </c>
      <c r="AE246" s="21">
        <f>IF(AQ246="7",BI246,0)</f>
        <v>0</v>
      </c>
      <c r="AF246" s="21">
        <f>IF(AQ246="2",BH246,0)</f>
        <v>0</v>
      </c>
      <c r="AG246" s="21">
        <f>IF(AQ246="2",BI246,0)</f>
        <v>0</v>
      </c>
      <c r="AH246" s="21">
        <f>IF(AQ246="0",BJ246,0)</f>
        <v>0</v>
      </c>
      <c r="AI246" s="10"/>
      <c r="AJ246" s="21">
        <f>IF(AN246=0,J246,0)</f>
        <v>0</v>
      </c>
      <c r="AK246" s="21">
        <f>IF(AN246=15,J246,0)</f>
        <v>0</v>
      </c>
      <c r="AL246" s="21">
        <f>IF(AN246=21,J246,0)</f>
        <v>0</v>
      </c>
      <c r="AN246" s="21">
        <v>21</v>
      </c>
      <c r="AO246" s="21">
        <f>G246*0</f>
        <v>0</v>
      </c>
      <c r="AP246" s="21">
        <f>G246*(1-0)</f>
        <v>0</v>
      </c>
      <c r="AQ246" s="23" t="s">
        <v>78</v>
      </c>
      <c r="AV246" s="21">
        <f>AW246+AX246</f>
        <v>0</v>
      </c>
      <c r="AW246" s="21">
        <f>F246*AO246</f>
        <v>0</v>
      </c>
      <c r="AX246" s="21">
        <f>F246*AP246</f>
        <v>0</v>
      </c>
      <c r="AY246" s="23" t="s">
        <v>380</v>
      </c>
      <c r="AZ246" s="23" t="s">
        <v>300</v>
      </c>
      <c r="BA246" s="10" t="s">
        <v>58</v>
      </c>
      <c r="BC246" s="21">
        <f>AW246+AX246</f>
        <v>0</v>
      </c>
      <c r="BD246" s="21">
        <f>G246/(100-BE246)*100</f>
        <v>0</v>
      </c>
      <c r="BE246" s="21">
        <v>0</v>
      </c>
      <c r="BF246" s="21">
        <f>L246</f>
        <v>0</v>
      </c>
      <c r="BH246" s="21">
        <f>F246*AO246</f>
        <v>0</v>
      </c>
      <c r="BI246" s="21">
        <f>F246*AP246</f>
        <v>0</v>
      </c>
      <c r="BJ246" s="21">
        <f>F246*G246</f>
        <v>0</v>
      </c>
      <c r="BK246" s="21" t="s">
        <v>59</v>
      </c>
      <c r="BL246" s="21" t="s">
        <v>375</v>
      </c>
    </row>
    <row r="247" spans="1:64" ht="15">
      <c r="A247" s="20" t="s">
        <v>562</v>
      </c>
      <c r="B247" s="3" t="s">
        <v>389</v>
      </c>
      <c r="C247" s="618" t="s">
        <v>390</v>
      </c>
      <c r="D247" s="608"/>
      <c r="E247" s="3" t="s">
        <v>125</v>
      </c>
      <c r="F247" s="21">
        <v>664.95</v>
      </c>
      <c r="G247" s="537"/>
      <c r="H247" s="21">
        <f>F247*AO247</f>
        <v>0</v>
      </c>
      <c r="I247" s="21">
        <f>F247*AP247</f>
        <v>0</v>
      </c>
      <c r="J247" s="21">
        <f>F247*G247</f>
        <v>0</v>
      </c>
      <c r="K247" s="21">
        <v>0</v>
      </c>
      <c r="L247" s="21">
        <f>F247*K247</f>
        <v>0</v>
      </c>
      <c r="M247" s="539" t="s">
        <v>2130</v>
      </c>
      <c r="N247" s="2"/>
      <c r="Z247" s="21">
        <f>IF(AQ247="5",BJ247,0)</f>
        <v>0</v>
      </c>
      <c r="AB247" s="21">
        <f>IF(AQ247="1",BH247,0)</f>
        <v>0</v>
      </c>
      <c r="AC247" s="21">
        <f>IF(AQ247="1",BI247,0)</f>
        <v>0</v>
      </c>
      <c r="AD247" s="21">
        <f>IF(AQ247="7",BH247,0)</f>
        <v>0</v>
      </c>
      <c r="AE247" s="21">
        <f>IF(AQ247="7",BI247,0)</f>
        <v>0</v>
      </c>
      <c r="AF247" s="21">
        <f>IF(AQ247="2",BH247,0)</f>
        <v>0</v>
      </c>
      <c r="AG247" s="21">
        <f>IF(AQ247="2",BI247,0)</f>
        <v>0</v>
      </c>
      <c r="AH247" s="21">
        <f>IF(AQ247="0",BJ247,0)</f>
        <v>0</v>
      </c>
      <c r="AI247" s="10"/>
      <c r="AJ247" s="21">
        <f>IF(AN247=0,J247,0)</f>
        <v>0</v>
      </c>
      <c r="AK247" s="21">
        <f>IF(AN247=15,J247,0)</f>
        <v>0</v>
      </c>
      <c r="AL247" s="21">
        <f>IF(AN247=21,J247,0)</f>
        <v>0</v>
      </c>
      <c r="AN247" s="21">
        <v>21</v>
      </c>
      <c r="AO247" s="21">
        <f>G247*0</f>
        <v>0</v>
      </c>
      <c r="AP247" s="21">
        <f>G247*(1-0)</f>
        <v>0</v>
      </c>
      <c r="AQ247" s="23" t="s">
        <v>78</v>
      </c>
      <c r="AV247" s="21">
        <f>AW247+AX247</f>
        <v>0</v>
      </c>
      <c r="AW247" s="21">
        <f>F247*AO247</f>
        <v>0</v>
      </c>
      <c r="AX247" s="21">
        <f>F247*AP247</f>
        <v>0</v>
      </c>
      <c r="AY247" s="23" t="s">
        <v>380</v>
      </c>
      <c r="AZ247" s="23" t="s">
        <v>300</v>
      </c>
      <c r="BA247" s="10" t="s">
        <v>58</v>
      </c>
      <c r="BC247" s="21">
        <f>AW247+AX247</f>
        <v>0</v>
      </c>
      <c r="BD247" s="21">
        <f>G247/(100-BE247)*100</f>
        <v>0</v>
      </c>
      <c r="BE247" s="21">
        <v>0</v>
      </c>
      <c r="BF247" s="21">
        <f>L247</f>
        <v>0</v>
      </c>
      <c r="BH247" s="21">
        <f>F247*AO247</f>
        <v>0</v>
      </c>
      <c r="BI247" s="21">
        <f>F247*AP247</f>
        <v>0</v>
      </c>
      <c r="BJ247" s="21">
        <f>F247*G247</f>
        <v>0</v>
      </c>
      <c r="BK247" s="21" t="s">
        <v>59</v>
      </c>
      <c r="BL247" s="21" t="s">
        <v>375</v>
      </c>
    </row>
    <row r="248" spans="1:64" ht="15">
      <c r="A248" s="20" t="s">
        <v>279</v>
      </c>
      <c r="B248" s="3" t="s">
        <v>392</v>
      </c>
      <c r="C248" s="618" t="s">
        <v>393</v>
      </c>
      <c r="D248" s="608"/>
      <c r="E248" s="3" t="s">
        <v>125</v>
      </c>
      <c r="F248" s="21">
        <v>48.2337</v>
      </c>
      <c r="G248" s="537"/>
      <c r="H248" s="21">
        <f>F248*AO248</f>
        <v>0</v>
      </c>
      <c r="I248" s="21">
        <f>F248*AP248</f>
        <v>0</v>
      </c>
      <c r="J248" s="21">
        <f>F248*G248</f>
        <v>0</v>
      </c>
      <c r="K248" s="21">
        <v>0</v>
      </c>
      <c r="L248" s="21">
        <f>F248*K248</f>
        <v>0</v>
      </c>
      <c r="M248" s="539" t="s">
        <v>2130</v>
      </c>
      <c r="N248" s="2"/>
      <c r="Z248" s="21">
        <f>IF(AQ248="5",BJ248,0)</f>
        <v>0</v>
      </c>
      <c r="AB248" s="21">
        <f>IF(AQ248="1",BH248,0)</f>
        <v>0</v>
      </c>
      <c r="AC248" s="21">
        <f>IF(AQ248="1",BI248,0)</f>
        <v>0</v>
      </c>
      <c r="AD248" s="21">
        <f>IF(AQ248="7",BH248,0)</f>
        <v>0</v>
      </c>
      <c r="AE248" s="21">
        <f>IF(AQ248="7",BI248,0)</f>
        <v>0</v>
      </c>
      <c r="AF248" s="21">
        <f>IF(AQ248="2",BH248,0)</f>
        <v>0</v>
      </c>
      <c r="AG248" s="21">
        <f>IF(AQ248="2",BI248,0)</f>
        <v>0</v>
      </c>
      <c r="AH248" s="21">
        <f>IF(AQ248="0",BJ248,0)</f>
        <v>0</v>
      </c>
      <c r="AI248" s="10"/>
      <c r="AJ248" s="21">
        <f>IF(AN248=0,J248,0)</f>
        <v>0</v>
      </c>
      <c r="AK248" s="21">
        <f>IF(AN248=15,J248,0)</f>
        <v>0</v>
      </c>
      <c r="AL248" s="21">
        <f>IF(AN248=21,J248,0)</f>
        <v>0</v>
      </c>
      <c r="AN248" s="21">
        <v>21</v>
      </c>
      <c r="AO248" s="21">
        <f>G248*0</f>
        <v>0</v>
      </c>
      <c r="AP248" s="21">
        <f>G248*(1-0)</f>
        <v>0</v>
      </c>
      <c r="AQ248" s="23" t="s">
        <v>78</v>
      </c>
      <c r="AV248" s="21">
        <f>AW248+AX248</f>
        <v>0</v>
      </c>
      <c r="AW248" s="21">
        <f>F248*AO248</f>
        <v>0</v>
      </c>
      <c r="AX248" s="21">
        <f>F248*AP248</f>
        <v>0</v>
      </c>
      <c r="AY248" s="23" t="s">
        <v>380</v>
      </c>
      <c r="AZ248" s="23" t="s">
        <v>300</v>
      </c>
      <c r="BA248" s="10" t="s">
        <v>58</v>
      </c>
      <c r="BC248" s="21">
        <f>AW248+AX248</f>
        <v>0</v>
      </c>
      <c r="BD248" s="21">
        <f>G248/(100-BE248)*100</f>
        <v>0</v>
      </c>
      <c r="BE248" s="21">
        <v>0</v>
      </c>
      <c r="BF248" s="21">
        <f>L248</f>
        <v>0</v>
      </c>
      <c r="BH248" s="21">
        <f>F248*AO248</f>
        <v>0</v>
      </c>
      <c r="BI248" s="21">
        <f>F248*AP248</f>
        <v>0</v>
      </c>
      <c r="BJ248" s="21">
        <f>F248*G248</f>
        <v>0</v>
      </c>
      <c r="BK248" s="21" t="s">
        <v>59</v>
      </c>
      <c r="BL248" s="21" t="s">
        <v>375</v>
      </c>
    </row>
    <row r="249" spans="1:64" ht="15">
      <c r="A249" s="28" t="s">
        <v>563</v>
      </c>
      <c r="B249" s="29" t="s">
        <v>395</v>
      </c>
      <c r="C249" s="642" t="s">
        <v>396</v>
      </c>
      <c r="D249" s="643"/>
      <c r="E249" s="29" t="s">
        <v>125</v>
      </c>
      <c r="F249" s="30">
        <v>3398.61059</v>
      </c>
      <c r="G249" s="538"/>
      <c r="H249" s="30">
        <f>F249*AO249</f>
        <v>0</v>
      </c>
      <c r="I249" s="30">
        <f>F249*AP249</f>
        <v>0</v>
      </c>
      <c r="J249" s="30">
        <f>F249*G249</f>
        <v>0</v>
      </c>
      <c r="K249" s="30">
        <v>0</v>
      </c>
      <c r="L249" s="30">
        <f>F249*K249</f>
        <v>0</v>
      </c>
      <c r="M249" s="31" t="s">
        <v>55</v>
      </c>
      <c r="N249" s="2"/>
      <c r="Z249" s="21">
        <f>IF(AQ249="5",BJ249,0)</f>
        <v>0</v>
      </c>
      <c r="AB249" s="21">
        <f>IF(AQ249="1",BH249,0)</f>
        <v>0</v>
      </c>
      <c r="AC249" s="21">
        <f>IF(AQ249="1",BI249,0)</f>
        <v>0</v>
      </c>
      <c r="AD249" s="21">
        <f>IF(AQ249="7",BH249,0)</f>
        <v>0</v>
      </c>
      <c r="AE249" s="21">
        <f>IF(AQ249="7",BI249,0)</f>
        <v>0</v>
      </c>
      <c r="AF249" s="21">
        <f>IF(AQ249="2",BH249,0)</f>
        <v>0</v>
      </c>
      <c r="AG249" s="21">
        <f>IF(AQ249="2",BI249,0)</f>
        <v>0</v>
      </c>
      <c r="AH249" s="21">
        <f>IF(AQ249="0",BJ249,0)</f>
        <v>0</v>
      </c>
      <c r="AI249" s="10"/>
      <c r="AJ249" s="21">
        <f>IF(AN249=0,J249,0)</f>
        <v>0</v>
      </c>
      <c r="AK249" s="21">
        <f>IF(AN249=15,J249,0)</f>
        <v>0</v>
      </c>
      <c r="AL249" s="21">
        <f>IF(AN249=21,J249,0)</f>
        <v>0</v>
      </c>
      <c r="AN249" s="21">
        <v>21</v>
      </c>
      <c r="AO249" s="21">
        <f>G249*0</f>
        <v>0</v>
      </c>
      <c r="AP249" s="21">
        <f>G249*(1-0)</f>
        <v>0</v>
      </c>
      <c r="AQ249" s="23" t="s">
        <v>78</v>
      </c>
      <c r="AV249" s="21">
        <f>AW249+AX249</f>
        <v>0</v>
      </c>
      <c r="AW249" s="21">
        <f>F249*AO249</f>
        <v>0</v>
      </c>
      <c r="AX249" s="21">
        <f>F249*AP249</f>
        <v>0</v>
      </c>
      <c r="AY249" s="23" t="s">
        <v>380</v>
      </c>
      <c r="AZ249" s="23" t="s">
        <v>300</v>
      </c>
      <c r="BA249" s="10" t="s">
        <v>58</v>
      </c>
      <c r="BC249" s="21">
        <f>AW249+AX249</f>
        <v>0</v>
      </c>
      <c r="BD249" s="21">
        <f>G249/(100-BE249)*100</f>
        <v>0</v>
      </c>
      <c r="BE249" s="21">
        <v>0</v>
      </c>
      <c r="BF249" s="21">
        <f>L249</f>
        <v>0</v>
      </c>
      <c r="BH249" s="21">
        <f>F249*AO249</f>
        <v>0</v>
      </c>
      <c r="BI249" s="21">
        <f>F249*AP249</f>
        <v>0</v>
      </c>
      <c r="BJ249" s="21">
        <f>F249*G249</f>
        <v>0</v>
      </c>
      <c r="BK249" s="21" t="s">
        <v>59</v>
      </c>
      <c r="BL249" s="21" t="s">
        <v>375</v>
      </c>
    </row>
    <row r="250" spans="1:13" ht="15">
      <c r="A250" s="32"/>
      <c r="B250" s="32"/>
      <c r="C250" s="32"/>
      <c r="D250" s="32"/>
      <c r="E250" s="32"/>
      <c r="F250" s="32"/>
      <c r="G250" s="32"/>
      <c r="H250" s="644" t="s">
        <v>397</v>
      </c>
      <c r="I250" s="610"/>
      <c r="J250" s="33">
        <f>J12+J36+J45+J48+J55+J59+J62+J71+J101+J112+J157+J178+J242</f>
        <v>0</v>
      </c>
      <c r="K250" s="32"/>
      <c r="L250" s="32"/>
      <c r="M250" s="32"/>
    </row>
    <row r="251" ht="11.25" customHeight="1">
      <c r="A251" s="34" t="s">
        <v>398</v>
      </c>
    </row>
    <row r="252" spans="1:13" ht="15">
      <c r="A252" s="617"/>
      <c r="B252" s="608"/>
      <c r="C252" s="608"/>
      <c r="D252" s="608"/>
      <c r="E252" s="608"/>
      <c r="F252" s="608"/>
      <c r="G252" s="608"/>
      <c r="H252" s="608"/>
      <c r="I252" s="608"/>
      <c r="J252" s="608"/>
      <c r="K252" s="608"/>
      <c r="L252" s="608"/>
      <c r="M252" s="608"/>
    </row>
  </sheetData>
  <sheetProtection algorithmName="SHA-512" hashValue="bFyioTnl3YoVZ9GuGkC00UMTh8PEkKMErj/jOqGge4whHwTODMNuvI+qBOkA8rUvDpT1haNJkLbJRQNCzvFp7Q==" saltValue="38r1oexa+RCF+fwCp34asg==" spinCount="100000" sheet="1" objects="1" scenarios="1"/>
  <mergeCells count="180">
    <mergeCell ref="C247:D247"/>
    <mergeCell ref="C248:D248"/>
    <mergeCell ref="C249:D249"/>
    <mergeCell ref="H250:I250"/>
    <mergeCell ref="A252:M252"/>
    <mergeCell ref="C240:D240"/>
    <mergeCell ref="C242:D242"/>
    <mergeCell ref="C243:D243"/>
    <mergeCell ref="C244:M244"/>
    <mergeCell ref="C245:D245"/>
    <mergeCell ref="C246:D246"/>
    <mergeCell ref="C231:D231"/>
    <mergeCell ref="C233:M233"/>
    <mergeCell ref="C234:D234"/>
    <mergeCell ref="C236:M236"/>
    <mergeCell ref="C237:D237"/>
    <mergeCell ref="C239:M239"/>
    <mergeCell ref="C223:M223"/>
    <mergeCell ref="C224:M224"/>
    <mergeCell ref="C225:D225"/>
    <mergeCell ref="C227:M227"/>
    <mergeCell ref="C228:D228"/>
    <mergeCell ref="C230:M230"/>
    <mergeCell ref="C214:M214"/>
    <mergeCell ref="C215:D215"/>
    <mergeCell ref="C217:M217"/>
    <mergeCell ref="C218:D218"/>
    <mergeCell ref="C220:M220"/>
    <mergeCell ref="C221:D221"/>
    <mergeCell ref="C204:M204"/>
    <mergeCell ref="C206:D206"/>
    <mergeCell ref="C208:M208"/>
    <mergeCell ref="C209:D209"/>
    <mergeCell ref="C211:M211"/>
    <mergeCell ref="C212:D212"/>
    <mergeCell ref="C196:D196"/>
    <mergeCell ref="C198:M198"/>
    <mergeCell ref="C199:D199"/>
    <mergeCell ref="C200:M200"/>
    <mergeCell ref="C202:M202"/>
    <mergeCell ref="C203:D203"/>
    <mergeCell ref="C185:M185"/>
    <mergeCell ref="C186:D186"/>
    <mergeCell ref="C189:M189"/>
    <mergeCell ref="C190:D190"/>
    <mergeCell ref="C193:D193"/>
    <mergeCell ref="C195:M195"/>
    <mergeCell ref="C174:D174"/>
    <mergeCell ref="C176:D176"/>
    <mergeCell ref="C178:D178"/>
    <mergeCell ref="C179:D179"/>
    <mergeCell ref="C181:M181"/>
    <mergeCell ref="C182:D182"/>
    <mergeCell ref="C163:D163"/>
    <mergeCell ref="C165:D165"/>
    <mergeCell ref="C167:D167"/>
    <mergeCell ref="C169:D169"/>
    <mergeCell ref="C171:D171"/>
    <mergeCell ref="C173:M173"/>
    <mergeCell ref="C154:M154"/>
    <mergeCell ref="C155:D155"/>
    <mergeCell ref="C157:D157"/>
    <mergeCell ref="C158:D158"/>
    <mergeCell ref="C160:M160"/>
    <mergeCell ref="C161:D161"/>
    <mergeCell ref="C142:D142"/>
    <mergeCell ref="C145:M145"/>
    <mergeCell ref="C146:D146"/>
    <mergeCell ref="C149:D149"/>
    <mergeCell ref="C151:M151"/>
    <mergeCell ref="C152:D152"/>
    <mergeCell ref="C133:M133"/>
    <mergeCell ref="C134:D134"/>
    <mergeCell ref="C136:M136"/>
    <mergeCell ref="C137:D137"/>
    <mergeCell ref="C139:D139"/>
    <mergeCell ref="C141:M141"/>
    <mergeCell ref="C120:D120"/>
    <mergeCell ref="C123:D123"/>
    <mergeCell ref="C126:M126"/>
    <mergeCell ref="C127:D127"/>
    <mergeCell ref="C130:M130"/>
    <mergeCell ref="C131:D131"/>
    <mergeCell ref="C109:D109"/>
    <mergeCell ref="C110:M110"/>
    <mergeCell ref="C112:D112"/>
    <mergeCell ref="C113:D113"/>
    <mergeCell ref="C115:M115"/>
    <mergeCell ref="C116:D116"/>
    <mergeCell ref="C99:M99"/>
    <mergeCell ref="C101:D101"/>
    <mergeCell ref="C102:D102"/>
    <mergeCell ref="C104:D104"/>
    <mergeCell ref="C106:D106"/>
    <mergeCell ref="C107:M107"/>
    <mergeCell ref="C88:M88"/>
    <mergeCell ref="C90:D90"/>
    <mergeCell ref="C92:D92"/>
    <mergeCell ref="C94:D94"/>
    <mergeCell ref="C96:D96"/>
    <mergeCell ref="C98:D98"/>
    <mergeCell ref="C79:M79"/>
    <mergeCell ref="C81:D81"/>
    <mergeCell ref="C82:M82"/>
    <mergeCell ref="C84:D84"/>
    <mergeCell ref="C85:M85"/>
    <mergeCell ref="C87:D87"/>
    <mergeCell ref="C71:D71"/>
    <mergeCell ref="C72:D72"/>
    <mergeCell ref="C73:M73"/>
    <mergeCell ref="C75:D75"/>
    <mergeCell ref="C76:M76"/>
    <mergeCell ref="C78:D78"/>
    <mergeCell ref="C60:D60"/>
    <mergeCell ref="C62:D62"/>
    <mergeCell ref="C63:D63"/>
    <mergeCell ref="C65:D65"/>
    <mergeCell ref="C67:D67"/>
    <mergeCell ref="C70:M70"/>
    <mergeCell ref="C52:D52"/>
    <mergeCell ref="C54:M54"/>
    <mergeCell ref="C55:D55"/>
    <mergeCell ref="C56:D56"/>
    <mergeCell ref="C58:M58"/>
    <mergeCell ref="C59:D59"/>
    <mergeCell ref="C44:M44"/>
    <mergeCell ref="C45:D45"/>
    <mergeCell ref="C46:D46"/>
    <mergeCell ref="C48:D48"/>
    <mergeCell ref="C49:D49"/>
    <mergeCell ref="C51:M51"/>
    <mergeCell ref="C34:D34"/>
    <mergeCell ref="C36:D36"/>
    <mergeCell ref="C37:D37"/>
    <mergeCell ref="C39:M39"/>
    <mergeCell ref="C40:D40"/>
    <mergeCell ref="C42:D42"/>
    <mergeCell ref="C24:D24"/>
    <mergeCell ref="C26:M26"/>
    <mergeCell ref="C27:D27"/>
    <mergeCell ref="C29:M29"/>
    <mergeCell ref="C30:D30"/>
    <mergeCell ref="C32:D32"/>
    <mergeCell ref="C15:M15"/>
    <mergeCell ref="C16:D16"/>
    <mergeCell ref="C18:M18"/>
    <mergeCell ref="C19:D19"/>
    <mergeCell ref="C21:M21"/>
    <mergeCell ref="C22:D22"/>
    <mergeCell ref="C10:D10"/>
    <mergeCell ref="H10:J10"/>
    <mergeCell ref="K10:L10"/>
    <mergeCell ref="C11:D11"/>
    <mergeCell ref="C12:D12"/>
    <mergeCell ref="C13:D13"/>
    <mergeCell ref="A8:B9"/>
    <mergeCell ref="C8:D9"/>
    <mergeCell ref="E8:F9"/>
    <mergeCell ref="G8:G9"/>
    <mergeCell ref="H8:H9"/>
    <mergeCell ref="I8:M9"/>
    <mergeCell ref="A6:B7"/>
    <mergeCell ref="C6:D7"/>
    <mergeCell ref="E6:F7"/>
    <mergeCell ref="G6:G7"/>
    <mergeCell ref="H6:H7"/>
    <mergeCell ref="I6:M7"/>
    <mergeCell ref="A4:B5"/>
    <mergeCell ref="C4:D5"/>
    <mergeCell ref="E4:F5"/>
    <mergeCell ref="G4:G5"/>
    <mergeCell ref="H4:H5"/>
    <mergeCell ref="I4:M5"/>
    <mergeCell ref="A1:M1"/>
    <mergeCell ref="A2:B3"/>
    <mergeCell ref="C2:D3"/>
    <mergeCell ref="E2:F3"/>
    <mergeCell ref="G2:G3"/>
    <mergeCell ref="H2:H3"/>
    <mergeCell ref="I2:M3"/>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70" r:id="rId1"/>
  <headerFooter>
    <oddFooter>&amp;CStrana &amp;P z &amp;N</oddFooter>
  </headerFooter>
  <rowBreaks count="4" manualBreakCount="4">
    <brk id="41" max="16383" man="1"/>
    <brk id="91" max="16383" man="1"/>
    <brk id="138" max="16383" man="1"/>
    <brk id="2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03152-BF8D-4827-B6D6-052DA3F33151}">
  <sheetPr>
    <pageSetUpPr fitToPage="1"/>
  </sheetPr>
  <dimension ref="A1:BL61"/>
  <sheetViews>
    <sheetView view="pageBreakPreview" zoomScale="115" zoomScaleSheetLayoutView="115" workbookViewId="0" topLeftCell="A29">
      <selection activeCell="F47" sqref="F47"/>
    </sheetView>
  </sheetViews>
  <sheetFormatPr defaultColWidth="11.57421875" defaultRowHeight="15"/>
  <cols>
    <col min="1" max="1" width="3.7109375" style="1" customWidth="1"/>
    <col min="2" max="2" width="14.28125" style="1" customWidth="1"/>
    <col min="3" max="3" width="16.7109375" style="1" customWidth="1"/>
    <col min="4" max="4" width="42.2812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16.7109375" style="1" customWidth="1"/>
    <col min="260" max="260" width="42.2812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16.7109375" style="1" customWidth="1"/>
    <col min="516" max="516" width="42.2812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16.7109375" style="1" customWidth="1"/>
    <col min="772" max="772" width="42.2812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16.7109375" style="1" customWidth="1"/>
    <col min="1028" max="1028" width="42.2812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16.7109375" style="1" customWidth="1"/>
    <col min="1284" max="1284" width="42.2812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16.7109375" style="1" customWidth="1"/>
    <col min="1540" max="1540" width="42.2812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16.7109375" style="1" customWidth="1"/>
    <col min="1796" max="1796" width="42.2812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16.7109375" style="1" customWidth="1"/>
    <col min="2052" max="2052" width="42.2812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16.7109375" style="1" customWidth="1"/>
    <col min="2308" max="2308" width="42.2812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16.7109375" style="1" customWidth="1"/>
    <col min="2564" max="2564" width="42.2812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16.7109375" style="1" customWidth="1"/>
    <col min="2820" max="2820" width="42.2812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16.7109375" style="1" customWidth="1"/>
    <col min="3076" max="3076" width="42.2812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16.7109375" style="1" customWidth="1"/>
    <col min="3332" max="3332" width="42.2812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16.7109375" style="1" customWidth="1"/>
    <col min="3588" max="3588" width="42.2812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16.7109375" style="1" customWidth="1"/>
    <col min="3844" max="3844" width="42.2812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16.7109375" style="1" customWidth="1"/>
    <col min="4100" max="4100" width="42.2812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16.7109375" style="1" customWidth="1"/>
    <col min="4356" max="4356" width="42.2812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16.7109375" style="1" customWidth="1"/>
    <col min="4612" max="4612" width="42.2812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16.7109375" style="1" customWidth="1"/>
    <col min="4868" max="4868" width="42.2812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16.7109375" style="1" customWidth="1"/>
    <col min="5124" max="5124" width="42.2812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16.7109375" style="1" customWidth="1"/>
    <col min="5380" max="5380" width="42.2812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16.7109375" style="1" customWidth="1"/>
    <col min="5636" max="5636" width="42.2812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16.7109375" style="1" customWidth="1"/>
    <col min="5892" max="5892" width="42.2812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16.7109375" style="1" customWidth="1"/>
    <col min="6148" max="6148" width="42.2812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16.7109375" style="1" customWidth="1"/>
    <col min="6404" max="6404" width="42.2812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16.7109375" style="1" customWidth="1"/>
    <col min="6660" max="6660" width="42.2812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16.7109375" style="1" customWidth="1"/>
    <col min="6916" max="6916" width="42.2812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16.7109375" style="1" customWidth="1"/>
    <col min="7172" max="7172" width="42.2812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16.7109375" style="1" customWidth="1"/>
    <col min="7428" max="7428" width="42.2812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16.7109375" style="1" customWidth="1"/>
    <col min="7684" max="7684" width="42.2812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16.7109375" style="1" customWidth="1"/>
    <col min="7940" max="7940" width="42.2812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16.7109375" style="1" customWidth="1"/>
    <col min="8196" max="8196" width="42.2812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16.7109375" style="1" customWidth="1"/>
    <col min="8452" max="8452" width="42.2812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16.7109375" style="1" customWidth="1"/>
    <col min="8708" max="8708" width="42.2812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16.7109375" style="1" customWidth="1"/>
    <col min="8964" max="8964" width="42.2812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16.7109375" style="1" customWidth="1"/>
    <col min="9220" max="9220" width="42.2812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16.7109375" style="1" customWidth="1"/>
    <col min="9476" max="9476" width="42.2812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16.7109375" style="1" customWidth="1"/>
    <col min="9732" max="9732" width="42.2812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16.7109375" style="1" customWidth="1"/>
    <col min="9988" max="9988" width="42.2812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16.7109375" style="1" customWidth="1"/>
    <col min="10244" max="10244" width="42.2812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16.7109375" style="1" customWidth="1"/>
    <col min="10500" max="10500" width="42.2812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16.7109375" style="1" customWidth="1"/>
    <col min="10756" max="10756" width="42.2812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16.7109375" style="1" customWidth="1"/>
    <col min="11012" max="11012" width="42.2812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16.7109375" style="1" customWidth="1"/>
    <col min="11268" max="11268" width="42.2812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16.7109375" style="1" customWidth="1"/>
    <col min="11524" max="11524" width="42.2812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16.7109375" style="1" customWidth="1"/>
    <col min="11780" max="11780" width="42.2812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16.7109375" style="1" customWidth="1"/>
    <col min="12036" max="12036" width="42.2812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16.7109375" style="1" customWidth="1"/>
    <col min="12292" max="12292" width="42.2812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16.7109375" style="1" customWidth="1"/>
    <col min="12548" max="12548" width="42.2812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16.7109375" style="1" customWidth="1"/>
    <col min="12804" max="12804" width="42.2812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16.7109375" style="1" customWidth="1"/>
    <col min="13060" max="13060" width="42.2812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16.7109375" style="1" customWidth="1"/>
    <col min="13316" max="13316" width="42.2812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16.7109375" style="1" customWidth="1"/>
    <col min="13572" max="13572" width="42.2812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16.7109375" style="1" customWidth="1"/>
    <col min="13828" max="13828" width="42.2812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16.7109375" style="1" customWidth="1"/>
    <col min="14084" max="14084" width="42.2812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16.7109375" style="1" customWidth="1"/>
    <col min="14340" max="14340" width="42.2812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16.7109375" style="1" customWidth="1"/>
    <col min="14596" max="14596" width="42.2812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16.7109375" style="1" customWidth="1"/>
    <col min="14852" max="14852" width="42.2812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16.7109375" style="1" customWidth="1"/>
    <col min="15108" max="15108" width="42.2812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16.7109375" style="1" customWidth="1"/>
    <col min="15364" max="15364" width="42.2812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16.7109375" style="1" customWidth="1"/>
    <col min="15620" max="15620" width="42.2812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16.7109375" style="1" customWidth="1"/>
    <col min="15876" max="15876" width="42.2812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16.7109375" style="1" customWidth="1"/>
    <col min="16132" max="16132" width="42.2812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564</v>
      </c>
      <c r="D2" s="610"/>
      <c r="E2" s="612" t="s">
        <v>3</v>
      </c>
      <c r="F2" s="606"/>
      <c r="G2" s="612" t="s">
        <v>4</v>
      </c>
      <c r="H2" s="613" t="s">
        <v>5</v>
      </c>
      <c r="I2" s="613" t="s">
        <v>6</v>
      </c>
      <c r="J2" s="606"/>
      <c r="K2" s="606"/>
      <c r="L2" s="606"/>
      <c r="M2" s="614"/>
      <c r="N2" s="2"/>
    </row>
    <row r="3" spans="1:14" ht="15">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76</v>
      </c>
      <c r="C12" s="629" t="s">
        <v>77</v>
      </c>
      <c r="D12" s="630"/>
      <c r="E12" s="37" t="s">
        <v>4</v>
      </c>
      <c r="F12" s="37" t="s">
        <v>4</v>
      </c>
      <c r="G12" s="37" t="s">
        <v>4</v>
      </c>
      <c r="H12" s="38">
        <f>SUM(H13:H13)</f>
        <v>0</v>
      </c>
      <c r="I12" s="38">
        <f>SUM(I13:I13)</f>
        <v>0</v>
      </c>
      <c r="J12" s="38">
        <f>SUM(J13:J13)</f>
        <v>0</v>
      </c>
      <c r="K12" s="39"/>
      <c r="L12" s="38">
        <f>SUM(L13:L13)</f>
        <v>0</v>
      </c>
      <c r="M12" s="40"/>
      <c r="N12" s="2"/>
      <c r="AI12" s="10"/>
      <c r="AS12" s="19">
        <f>SUM(AJ13:AJ13)</f>
        <v>0</v>
      </c>
      <c r="AT12" s="19">
        <f>SUM(AK13:AK13)</f>
        <v>0</v>
      </c>
      <c r="AU12" s="19">
        <f>SUM(AL13:AL13)</f>
        <v>0</v>
      </c>
    </row>
    <row r="13" spans="1:64" ht="15">
      <c r="A13" s="20" t="s">
        <v>51</v>
      </c>
      <c r="B13" s="3" t="s">
        <v>79</v>
      </c>
      <c r="C13" s="618" t="s">
        <v>80</v>
      </c>
      <c r="D13" s="608"/>
      <c r="E13" s="3" t="s">
        <v>81</v>
      </c>
      <c r="F13" s="21">
        <v>25.8</v>
      </c>
      <c r="G13" s="537"/>
      <c r="H13" s="21">
        <f>F13*AO13</f>
        <v>0</v>
      </c>
      <c r="I13" s="21">
        <f>F13*AP13</f>
        <v>0</v>
      </c>
      <c r="J13" s="21">
        <f>F13*G13</f>
        <v>0</v>
      </c>
      <c r="K13" s="21">
        <v>0</v>
      </c>
      <c r="L13" s="21">
        <f>F13*K13</f>
        <v>0</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82</v>
      </c>
      <c r="AZ13" s="23" t="s">
        <v>57</v>
      </c>
      <c r="BA13" s="10" t="s">
        <v>58</v>
      </c>
      <c r="BC13" s="21">
        <f>AW13+AX13</f>
        <v>0</v>
      </c>
      <c r="BD13" s="21">
        <f>G13/(100-BE13)*100</f>
        <v>0</v>
      </c>
      <c r="BE13" s="21">
        <v>0</v>
      </c>
      <c r="BF13" s="21">
        <f>L13</f>
        <v>0</v>
      </c>
      <c r="BH13" s="21">
        <f>F13*AO13</f>
        <v>0</v>
      </c>
      <c r="BI13" s="21">
        <f>F13*AP13</f>
        <v>0</v>
      </c>
      <c r="BJ13" s="21">
        <f>F13*G13</f>
        <v>0</v>
      </c>
      <c r="BK13" s="21" t="s">
        <v>59</v>
      </c>
      <c r="BL13" s="21">
        <v>12</v>
      </c>
    </row>
    <row r="14" spans="1:14" ht="15">
      <c r="A14" s="2"/>
      <c r="C14" s="24" t="s">
        <v>565</v>
      </c>
      <c r="D14" s="24"/>
      <c r="F14" s="25">
        <v>25.8</v>
      </c>
      <c r="M14" s="26"/>
      <c r="N14" s="2"/>
    </row>
    <row r="15" spans="1:14" ht="15">
      <c r="A15" s="2"/>
      <c r="B15" s="27" t="s">
        <v>61</v>
      </c>
      <c r="C15" s="634" t="s">
        <v>84</v>
      </c>
      <c r="D15" s="635"/>
      <c r="E15" s="635"/>
      <c r="F15" s="635"/>
      <c r="G15" s="635"/>
      <c r="H15" s="635"/>
      <c r="I15" s="635"/>
      <c r="J15" s="635"/>
      <c r="K15" s="635"/>
      <c r="L15" s="635"/>
      <c r="M15" s="636"/>
      <c r="N15" s="2"/>
    </row>
    <row r="16" spans="1:47" ht="15">
      <c r="A16" s="41"/>
      <c r="B16" s="42" t="s">
        <v>92</v>
      </c>
      <c r="C16" s="637" t="s">
        <v>93</v>
      </c>
      <c r="D16" s="638"/>
      <c r="E16" s="43" t="s">
        <v>4</v>
      </c>
      <c r="F16" s="43" t="s">
        <v>4</v>
      </c>
      <c r="G16" s="43" t="s">
        <v>4</v>
      </c>
      <c r="H16" s="44">
        <f>SUM(H17:H17)</f>
        <v>0</v>
      </c>
      <c r="I16" s="44">
        <f>SUM(I17:I17)</f>
        <v>0</v>
      </c>
      <c r="J16" s="44">
        <f>SUM(J17:J17)</f>
        <v>0</v>
      </c>
      <c r="K16" s="45"/>
      <c r="L16" s="44">
        <f>SUM(L17:L17)</f>
        <v>0</v>
      </c>
      <c r="M16" s="46"/>
      <c r="N16" s="2"/>
      <c r="AI16" s="10"/>
      <c r="AS16" s="19">
        <f>SUM(AJ17:AJ17)</f>
        <v>0</v>
      </c>
      <c r="AT16" s="19">
        <f>SUM(AK17:AK17)</f>
        <v>0</v>
      </c>
      <c r="AU16" s="19">
        <f>SUM(AL17:AL17)</f>
        <v>0</v>
      </c>
    </row>
    <row r="17" spans="1:64" ht="15">
      <c r="A17" s="20" t="s">
        <v>63</v>
      </c>
      <c r="B17" s="3" t="s">
        <v>95</v>
      </c>
      <c r="C17" s="618" t="s">
        <v>96</v>
      </c>
      <c r="D17" s="608"/>
      <c r="E17" s="3" t="s">
        <v>81</v>
      </c>
      <c r="F17" s="21">
        <v>25.8</v>
      </c>
      <c r="G17" s="537"/>
      <c r="H17" s="21">
        <f>F17*AO17</f>
        <v>0</v>
      </c>
      <c r="I17" s="21">
        <f>F17*AP17</f>
        <v>0</v>
      </c>
      <c r="J17" s="21">
        <f>F17*G17</f>
        <v>0</v>
      </c>
      <c r="K17" s="21">
        <v>0</v>
      </c>
      <c r="L17" s="21">
        <f>F17*K17</f>
        <v>0</v>
      </c>
      <c r="M17" s="22" t="s">
        <v>55</v>
      </c>
      <c r="N17" s="2"/>
      <c r="Z17" s="21">
        <f>IF(AQ17="5",BJ17,0)</f>
        <v>0</v>
      </c>
      <c r="AB17" s="21">
        <f>IF(AQ17="1",BH17,0)</f>
        <v>0</v>
      </c>
      <c r="AC17" s="21">
        <f>IF(AQ17="1",BI17,0)</f>
        <v>0</v>
      </c>
      <c r="AD17" s="21">
        <f>IF(AQ17="7",BH17,0)</f>
        <v>0</v>
      </c>
      <c r="AE17" s="21">
        <f>IF(AQ17="7",BI17,0)</f>
        <v>0</v>
      </c>
      <c r="AF17" s="21">
        <f>IF(AQ17="2",BH17,0)</f>
        <v>0</v>
      </c>
      <c r="AG17" s="21">
        <f>IF(AQ17="2",BI17,0)</f>
        <v>0</v>
      </c>
      <c r="AH17" s="21">
        <f>IF(AQ17="0",BJ17,0)</f>
        <v>0</v>
      </c>
      <c r="AI17" s="10"/>
      <c r="AJ17" s="21">
        <f>IF(AN17=0,J17,0)</f>
        <v>0</v>
      </c>
      <c r="AK17" s="21">
        <f>IF(AN17=15,J17,0)</f>
        <v>0</v>
      </c>
      <c r="AL17" s="21">
        <f>IF(AN17=21,J17,0)</f>
        <v>0</v>
      </c>
      <c r="AN17" s="21">
        <v>21</v>
      </c>
      <c r="AO17" s="21">
        <f>G17*0</f>
        <v>0</v>
      </c>
      <c r="AP17" s="21">
        <f>G17*(1-0)</f>
        <v>0</v>
      </c>
      <c r="AQ17" s="23" t="s">
        <v>51</v>
      </c>
      <c r="AV17" s="21">
        <f>AW17+AX17</f>
        <v>0</v>
      </c>
      <c r="AW17" s="21">
        <f>F17*AO17</f>
        <v>0</v>
      </c>
      <c r="AX17" s="21">
        <f>F17*AP17</f>
        <v>0</v>
      </c>
      <c r="AY17" s="23" t="s">
        <v>97</v>
      </c>
      <c r="AZ17" s="23" t="s">
        <v>57</v>
      </c>
      <c r="BA17" s="10" t="s">
        <v>58</v>
      </c>
      <c r="BC17" s="21">
        <f>AW17+AX17</f>
        <v>0</v>
      </c>
      <c r="BD17" s="21">
        <f>G17/(100-BE17)*100</f>
        <v>0</v>
      </c>
      <c r="BE17" s="21">
        <v>0</v>
      </c>
      <c r="BF17" s="21">
        <f>L17</f>
        <v>0</v>
      </c>
      <c r="BH17" s="21">
        <f>F17*AO17</f>
        <v>0</v>
      </c>
      <c r="BI17" s="21">
        <f>F17*AP17</f>
        <v>0</v>
      </c>
      <c r="BJ17" s="21">
        <f>F17*G17</f>
        <v>0</v>
      </c>
      <c r="BK17" s="21" t="s">
        <v>59</v>
      </c>
      <c r="BL17" s="21">
        <v>16</v>
      </c>
    </row>
    <row r="18" spans="1:14" ht="15">
      <c r="A18" s="2"/>
      <c r="C18" s="24" t="s">
        <v>566</v>
      </c>
      <c r="D18" s="24"/>
      <c r="F18" s="25">
        <v>25.8</v>
      </c>
      <c r="M18" s="26"/>
      <c r="N18" s="2"/>
    </row>
    <row r="19" spans="1:47" ht="15">
      <c r="A19" s="41"/>
      <c r="B19" s="42" t="s">
        <v>114</v>
      </c>
      <c r="C19" s="637" t="s">
        <v>115</v>
      </c>
      <c r="D19" s="638"/>
      <c r="E19" s="43" t="s">
        <v>4</v>
      </c>
      <c r="F19" s="43" t="s">
        <v>4</v>
      </c>
      <c r="G19" s="43" t="s">
        <v>4</v>
      </c>
      <c r="H19" s="44">
        <f>SUM(H20:H20)</f>
        <v>0</v>
      </c>
      <c r="I19" s="44">
        <f>SUM(I20:I20)</f>
        <v>0</v>
      </c>
      <c r="J19" s="44">
        <f>SUM(J20:J20)</f>
        <v>0</v>
      </c>
      <c r="K19" s="45"/>
      <c r="L19" s="44">
        <f>SUM(L20:L20)</f>
        <v>0</v>
      </c>
      <c r="M19" s="46"/>
      <c r="N19" s="2"/>
      <c r="AI19" s="10"/>
      <c r="AS19" s="19">
        <f>SUM(AJ20:AJ20)</f>
        <v>0</v>
      </c>
      <c r="AT19" s="19">
        <f>SUM(AK20:AK20)</f>
        <v>0</v>
      </c>
      <c r="AU19" s="19">
        <f>SUM(AL20:AL20)</f>
        <v>0</v>
      </c>
    </row>
    <row r="20" spans="1:64" ht="15">
      <c r="A20" s="20" t="s">
        <v>67</v>
      </c>
      <c r="B20" s="3" t="s">
        <v>116</v>
      </c>
      <c r="C20" s="618" t="s">
        <v>117</v>
      </c>
      <c r="D20" s="608"/>
      <c r="E20" s="3" t="s">
        <v>54</v>
      </c>
      <c r="F20" s="21">
        <v>86</v>
      </c>
      <c r="G20" s="537"/>
      <c r="H20" s="21">
        <f>F20*AO20</f>
        <v>0</v>
      </c>
      <c r="I20" s="21">
        <f>F20*AP20</f>
        <v>0</v>
      </c>
      <c r="J20" s="21">
        <f>F20*G20</f>
        <v>0</v>
      </c>
      <c r="K20" s="21">
        <v>0</v>
      </c>
      <c r="L20" s="21">
        <f>F20*K20</f>
        <v>0</v>
      </c>
      <c r="M20" s="22" t="s">
        <v>55</v>
      </c>
      <c r="N20" s="2"/>
      <c r="Z20" s="21">
        <f>IF(AQ20="5",BJ20,0)</f>
        <v>0</v>
      </c>
      <c r="AB20" s="21">
        <f>IF(AQ20="1",BH20,0)</f>
        <v>0</v>
      </c>
      <c r="AC20" s="21">
        <f>IF(AQ20="1",BI20,0)</f>
        <v>0</v>
      </c>
      <c r="AD20" s="21">
        <f>IF(AQ20="7",BH20,0)</f>
        <v>0</v>
      </c>
      <c r="AE20" s="21">
        <f>IF(AQ20="7",BI20,0)</f>
        <v>0</v>
      </c>
      <c r="AF20" s="21">
        <f>IF(AQ20="2",BH20,0)</f>
        <v>0</v>
      </c>
      <c r="AG20" s="21">
        <f>IF(AQ20="2",BI20,0)</f>
        <v>0</v>
      </c>
      <c r="AH20" s="21">
        <f>IF(AQ20="0",BJ20,0)</f>
        <v>0</v>
      </c>
      <c r="AI20" s="10"/>
      <c r="AJ20" s="21">
        <f>IF(AN20=0,J20,0)</f>
        <v>0</v>
      </c>
      <c r="AK20" s="21">
        <f>IF(AN20=15,J20,0)</f>
        <v>0</v>
      </c>
      <c r="AL20" s="21">
        <f>IF(AN20=21,J20,0)</f>
        <v>0</v>
      </c>
      <c r="AN20" s="21">
        <v>21</v>
      </c>
      <c r="AO20" s="21">
        <f>G20*0</f>
        <v>0</v>
      </c>
      <c r="AP20" s="21">
        <f>G20*(1-0)</f>
        <v>0</v>
      </c>
      <c r="AQ20" s="23" t="s">
        <v>51</v>
      </c>
      <c r="AV20" s="21">
        <f>AW20+AX20</f>
        <v>0</v>
      </c>
      <c r="AW20" s="21">
        <f>F20*AO20</f>
        <v>0</v>
      </c>
      <c r="AX20" s="21">
        <f>F20*AP20</f>
        <v>0</v>
      </c>
      <c r="AY20" s="23" t="s">
        <v>118</v>
      </c>
      <c r="AZ20" s="23" t="s">
        <v>57</v>
      </c>
      <c r="BA20" s="10" t="s">
        <v>58</v>
      </c>
      <c r="BC20" s="21">
        <f>AW20+AX20</f>
        <v>0</v>
      </c>
      <c r="BD20" s="21">
        <f>G20/(100-BE20)*100</f>
        <v>0</v>
      </c>
      <c r="BE20" s="21">
        <v>0</v>
      </c>
      <c r="BF20" s="21">
        <f>L20</f>
        <v>0</v>
      </c>
      <c r="BH20" s="21">
        <f>F20*AO20</f>
        <v>0</v>
      </c>
      <c r="BI20" s="21">
        <f>F20*AP20</f>
        <v>0</v>
      </c>
      <c r="BJ20" s="21">
        <f>F20*G20</f>
        <v>0</v>
      </c>
      <c r="BK20" s="21" t="s">
        <v>59</v>
      </c>
      <c r="BL20" s="21">
        <v>18</v>
      </c>
    </row>
    <row r="21" spans="1:14" ht="15">
      <c r="A21" s="2"/>
      <c r="C21" s="24" t="s">
        <v>567</v>
      </c>
      <c r="D21" s="24"/>
      <c r="F21" s="25">
        <v>86</v>
      </c>
      <c r="M21" s="26"/>
      <c r="N21" s="2"/>
    </row>
    <row r="22" spans="1:14" ht="15">
      <c r="A22" s="2"/>
      <c r="B22" s="27" t="s">
        <v>61</v>
      </c>
      <c r="C22" s="634" t="s">
        <v>120</v>
      </c>
      <c r="D22" s="635"/>
      <c r="E22" s="635"/>
      <c r="F22" s="635"/>
      <c r="G22" s="635"/>
      <c r="H22" s="635"/>
      <c r="I22" s="635"/>
      <c r="J22" s="635"/>
      <c r="K22" s="635"/>
      <c r="L22" s="635"/>
      <c r="M22" s="636"/>
      <c r="N22" s="2"/>
    </row>
    <row r="23" spans="1:47" ht="15">
      <c r="A23" s="41"/>
      <c r="B23" s="42" t="s">
        <v>121</v>
      </c>
      <c r="C23" s="637" t="s">
        <v>122</v>
      </c>
      <c r="D23" s="638"/>
      <c r="E23" s="43" t="s">
        <v>4</v>
      </c>
      <c r="F23" s="43" t="s">
        <v>4</v>
      </c>
      <c r="G23" s="43" t="s">
        <v>4</v>
      </c>
      <c r="H23" s="44">
        <f>SUM(H24:H24)</f>
        <v>0</v>
      </c>
      <c r="I23" s="44">
        <f>SUM(I24:I24)</f>
        <v>0</v>
      </c>
      <c r="J23" s="44">
        <f>SUM(J24:J24)</f>
        <v>0</v>
      </c>
      <c r="K23" s="45"/>
      <c r="L23" s="44">
        <f>SUM(L24:L24)</f>
        <v>0</v>
      </c>
      <c r="M23" s="46"/>
      <c r="N23" s="2"/>
      <c r="AI23" s="10"/>
      <c r="AS23" s="19">
        <f>SUM(AJ24:AJ24)</f>
        <v>0</v>
      </c>
      <c r="AT23" s="19">
        <f>SUM(AK24:AK24)</f>
        <v>0</v>
      </c>
      <c r="AU23" s="19">
        <f>SUM(AL24:AL24)</f>
        <v>0</v>
      </c>
    </row>
    <row r="24" spans="1:64" ht="15">
      <c r="A24" s="20" t="s">
        <v>71</v>
      </c>
      <c r="B24" s="3" t="s">
        <v>129</v>
      </c>
      <c r="C24" s="618" t="s">
        <v>130</v>
      </c>
      <c r="D24" s="608"/>
      <c r="E24" s="3" t="s">
        <v>125</v>
      </c>
      <c r="F24" s="21">
        <v>41.28</v>
      </c>
      <c r="G24" s="537"/>
      <c r="H24" s="21">
        <f>F24*AO24</f>
        <v>0</v>
      </c>
      <c r="I24" s="21">
        <f>F24*AP24</f>
        <v>0</v>
      </c>
      <c r="J24" s="21">
        <f>F24*G24</f>
        <v>0</v>
      </c>
      <c r="K24" s="21">
        <v>0</v>
      </c>
      <c r="L24" s="21">
        <f>F24*K24</f>
        <v>0</v>
      </c>
      <c r="M24" s="22" t="s">
        <v>55</v>
      </c>
      <c r="N24" s="2"/>
      <c r="Z24" s="21">
        <f>IF(AQ24="5",BJ24,0)</f>
        <v>0</v>
      </c>
      <c r="AB24" s="21">
        <f>IF(AQ24="1",BH24,0)</f>
        <v>0</v>
      </c>
      <c r="AC24" s="21">
        <f>IF(AQ24="1",BI24,0)</f>
        <v>0</v>
      </c>
      <c r="AD24" s="21">
        <f>IF(AQ24="7",BH24,0)</f>
        <v>0</v>
      </c>
      <c r="AE24" s="21">
        <f>IF(AQ24="7",BI24,0)</f>
        <v>0</v>
      </c>
      <c r="AF24" s="21">
        <f>IF(AQ24="2",BH24,0)</f>
        <v>0</v>
      </c>
      <c r="AG24" s="21">
        <f>IF(AQ24="2",BI24,0)</f>
        <v>0</v>
      </c>
      <c r="AH24" s="21">
        <f>IF(AQ24="0",BJ24,0)</f>
        <v>0</v>
      </c>
      <c r="AI24" s="10"/>
      <c r="AJ24" s="21">
        <f>IF(AN24=0,J24,0)</f>
        <v>0</v>
      </c>
      <c r="AK24" s="21">
        <f>IF(AN24=15,J24,0)</f>
        <v>0</v>
      </c>
      <c r="AL24" s="21">
        <f>IF(AN24=21,J24,0)</f>
        <v>0</v>
      </c>
      <c r="AN24" s="21">
        <v>21</v>
      </c>
      <c r="AO24" s="21">
        <f>G24*0</f>
        <v>0</v>
      </c>
      <c r="AP24" s="21">
        <f>G24*(1-0)</f>
        <v>0</v>
      </c>
      <c r="AQ24" s="23" t="s">
        <v>51</v>
      </c>
      <c r="AV24" s="21">
        <f>AW24+AX24</f>
        <v>0</v>
      </c>
      <c r="AW24" s="21">
        <f>F24*AO24</f>
        <v>0</v>
      </c>
      <c r="AX24" s="21">
        <f>F24*AP24</f>
        <v>0</v>
      </c>
      <c r="AY24" s="23" t="s">
        <v>126</v>
      </c>
      <c r="AZ24" s="23" t="s">
        <v>57</v>
      </c>
      <c r="BA24" s="10" t="s">
        <v>58</v>
      </c>
      <c r="BC24" s="21">
        <f>AW24+AX24</f>
        <v>0</v>
      </c>
      <c r="BD24" s="21">
        <f>G24/(100-BE24)*100</f>
        <v>0</v>
      </c>
      <c r="BE24" s="21">
        <v>0</v>
      </c>
      <c r="BF24" s="21">
        <f>L24</f>
        <v>0</v>
      </c>
      <c r="BH24" s="21">
        <f>F24*AO24</f>
        <v>0</v>
      </c>
      <c r="BI24" s="21">
        <f>F24*AP24</f>
        <v>0</v>
      </c>
      <c r="BJ24" s="21">
        <f>F24*G24</f>
        <v>0</v>
      </c>
      <c r="BK24" s="21" t="s">
        <v>59</v>
      </c>
      <c r="BL24" s="21">
        <v>19</v>
      </c>
    </row>
    <row r="25" spans="1:14" ht="15">
      <c r="A25" s="2"/>
      <c r="C25" s="24" t="s">
        <v>568</v>
      </c>
      <c r="D25" s="24"/>
      <c r="F25" s="25">
        <v>41.28</v>
      </c>
      <c r="M25" s="26"/>
      <c r="N25" s="2"/>
    </row>
    <row r="26" spans="1:47" ht="15">
      <c r="A26" s="41"/>
      <c r="B26" s="42" t="s">
        <v>132</v>
      </c>
      <c r="C26" s="637" t="s">
        <v>133</v>
      </c>
      <c r="D26" s="638"/>
      <c r="E26" s="43" t="s">
        <v>4</v>
      </c>
      <c r="F26" s="43" t="s">
        <v>4</v>
      </c>
      <c r="G26" s="43" t="s">
        <v>4</v>
      </c>
      <c r="H26" s="44">
        <f>SUM(H27:H33)</f>
        <v>0</v>
      </c>
      <c r="I26" s="44">
        <f>SUM(I27:I33)</f>
        <v>0</v>
      </c>
      <c r="J26" s="44">
        <f>SUM(J27:J33)</f>
        <v>0</v>
      </c>
      <c r="K26" s="45"/>
      <c r="L26" s="44">
        <f>SUM(L27:L33)</f>
        <v>57.22758999999999</v>
      </c>
      <c r="M26" s="46"/>
      <c r="N26" s="2"/>
      <c r="AI26" s="10"/>
      <c r="AS26" s="19">
        <f>SUM(AJ27:AJ33)</f>
        <v>0</v>
      </c>
      <c r="AT26" s="19">
        <f>SUM(AK27:AK33)</f>
        <v>0</v>
      </c>
      <c r="AU26" s="19">
        <f>SUM(AL27:AL33)</f>
        <v>0</v>
      </c>
    </row>
    <row r="27" spans="1:64" ht="15">
      <c r="A27" s="20" t="s">
        <v>78</v>
      </c>
      <c r="B27" s="3" t="s">
        <v>409</v>
      </c>
      <c r="C27" s="618" t="s">
        <v>410</v>
      </c>
      <c r="D27" s="608"/>
      <c r="E27" s="3" t="s">
        <v>54</v>
      </c>
      <c r="F27" s="21">
        <v>17.5</v>
      </c>
      <c r="G27" s="537"/>
      <c r="H27" s="21">
        <f>F27*AO27</f>
        <v>0</v>
      </c>
      <c r="I27" s="21">
        <f>F27*AP27</f>
        <v>0</v>
      </c>
      <c r="J27" s="21">
        <f>F27*G27</f>
        <v>0</v>
      </c>
      <c r="K27" s="21">
        <v>0.42</v>
      </c>
      <c r="L27" s="21">
        <f>F27*K27</f>
        <v>7.35</v>
      </c>
      <c r="M27" s="22" t="s">
        <v>55</v>
      </c>
      <c r="N27" s="2"/>
      <c r="Z27" s="21">
        <f>IF(AQ27="5",BJ27,0)</f>
        <v>0</v>
      </c>
      <c r="AB27" s="21">
        <f>IF(AQ27="1",BH27,0)</f>
        <v>0</v>
      </c>
      <c r="AC27" s="21">
        <f>IF(AQ27="1",BI27,0)</f>
        <v>0</v>
      </c>
      <c r="AD27" s="21">
        <f>IF(AQ27="7",BH27,0)</f>
        <v>0</v>
      </c>
      <c r="AE27" s="21">
        <f>IF(AQ27="7",BI27,0)</f>
        <v>0</v>
      </c>
      <c r="AF27" s="21">
        <f>IF(AQ27="2",BH27,0)</f>
        <v>0</v>
      </c>
      <c r="AG27" s="21">
        <f>IF(AQ27="2",BI27,0)</f>
        <v>0</v>
      </c>
      <c r="AH27" s="21">
        <f>IF(AQ27="0",BJ27,0)</f>
        <v>0</v>
      </c>
      <c r="AI27" s="10"/>
      <c r="AJ27" s="21">
        <f>IF(AN27=0,J27,0)</f>
        <v>0</v>
      </c>
      <c r="AK27" s="21">
        <f>IF(AN27=15,J27,0)</f>
        <v>0</v>
      </c>
      <c r="AL27" s="21">
        <f>IF(AN27=21,J27,0)</f>
        <v>0</v>
      </c>
      <c r="AN27" s="21">
        <v>21</v>
      </c>
      <c r="AO27" s="21">
        <f>G27*0.810194552529183</f>
        <v>0</v>
      </c>
      <c r="AP27" s="21">
        <f>G27*(1-0.810194552529183)</f>
        <v>0</v>
      </c>
      <c r="AQ27" s="23" t="s">
        <v>51</v>
      </c>
      <c r="AV27" s="21">
        <f>AW27+AX27</f>
        <v>0</v>
      </c>
      <c r="AW27" s="21">
        <f>F27*AO27</f>
        <v>0</v>
      </c>
      <c r="AX27" s="21">
        <f>F27*AP27</f>
        <v>0</v>
      </c>
      <c r="AY27" s="23" t="s">
        <v>136</v>
      </c>
      <c r="AZ27" s="23" t="s">
        <v>137</v>
      </c>
      <c r="BA27" s="10" t="s">
        <v>58</v>
      </c>
      <c r="BC27" s="21">
        <f>AW27+AX27</f>
        <v>0</v>
      </c>
      <c r="BD27" s="21">
        <f>G27/(100-BE27)*100</f>
        <v>0</v>
      </c>
      <c r="BE27" s="21">
        <v>0</v>
      </c>
      <c r="BF27" s="21">
        <f>L27</f>
        <v>7.35</v>
      </c>
      <c r="BH27" s="21">
        <f>F27*AO27</f>
        <v>0</v>
      </c>
      <c r="BI27" s="21">
        <f>F27*AP27</f>
        <v>0</v>
      </c>
      <c r="BJ27" s="21">
        <f>F27*G27</f>
        <v>0</v>
      </c>
      <c r="BK27" s="21" t="s">
        <v>59</v>
      </c>
      <c r="BL27" s="21">
        <v>56</v>
      </c>
    </row>
    <row r="28" spans="1:14" ht="15">
      <c r="A28" s="2"/>
      <c r="C28" s="24" t="s">
        <v>569</v>
      </c>
      <c r="D28" s="24" t="s">
        <v>411</v>
      </c>
      <c r="F28" s="25">
        <v>17.5</v>
      </c>
      <c r="M28" s="26"/>
      <c r="N28" s="2"/>
    </row>
    <row r="29" spans="1:14" ht="15">
      <c r="A29" s="2"/>
      <c r="B29" s="27" t="s">
        <v>61</v>
      </c>
      <c r="C29" s="634" t="s">
        <v>412</v>
      </c>
      <c r="D29" s="635"/>
      <c r="E29" s="635"/>
      <c r="F29" s="635"/>
      <c r="G29" s="635"/>
      <c r="H29" s="635"/>
      <c r="I29" s="635"/>
      <c r="J29" s="635"/>
      <c r="K29" s="635"/>
      <c r="L29" s="635"/>
      <c r="M29" s="636"/>
      <c r="N29" s="2"/>
    </row>
    <row r="30" spans="1:64" ht="15">
      <c r="A30" s="20" t="s">
        <v>85</v>
      </c>
      <c r="B30" s="3" t="s">
        <v>150</v>
      </c>
      <c r="C30" s="618" t="s">
        <v>151</v>
      </c>
      <c r="D30" s="608"/>
      <c r="E30" s="3" t="s">
        <v>54</v>
      </c>
      <c r="F30" s="21">
        <v>68.5</v>
      </c>
      <c r="G30" s="537"/>
      <c r="H30" s="21">
        <f>F30*AO30</f>
        <v>0</v>
      </c>
      <c r="I30" s="21">
        <f>F30*AP30</f>
        <v>0</v>
      </c>
      <c r="J30" s="21">
        <f>F30*G30</f>
        <v>0</v>
      </c>
      <c r="K30" s="21">
        <v>0.345</v>
      </c>
      <c r="L30" s="21">
        <f>F30*K30</f>
        <v>23.632499999999997</v>
      </c>
      <c r="M30" s="22" t="s">
        <v>55</v>
      </c>
      <c r="N30" s="2"/>
      <c r="Z30" s="21">
        <f>IF(AQ30="5",BJ30,0)</f>
        <v>0</v>
      </c>
      <c r="AB30" s="21">
        <f>IF(AQ30="1",BH30,0)</f>
        <v>0</v>
      </c>
      <c r="AC30" s="21">
        <f>IF(AQ30="1",BI30,0)</f>
        <v>0</v>
      </c>
      <c r="AD30" s="21">
        <f>IF(AQ30="7",BH30,0)</f>
        <v>0</v>
      </c>
      <c r="AE30" s="21">
        <f>IF(AQ30="7",BI30,0)</f>
        <v>0</v>
      </c>
      <c r="AF30" s="21">
        <f>IF(AQ30="2",BH30,0)</f>
        <v>0</v>
      </c>
      <c r="AG30" s="21">
        <f>IF(AQ30="2",BI30,0)</f>
        <v>0</v>
      </c>
      <c r="AH30" s="21">
        <f>IF(AQ30="0",BJ30,0)</f>
        <v>0</v>
      </c>
      <c r="AI30" s="10"/>
      <c r="AJ30" s="21">
        <f>IF(AN30=0,J30,0)</f>
        <v>0</v>
      </c>
      <c r="AK30" s="21">
        <f>IF(AN30=15,J30,0)</f>
        <v>0</v>
      </c>
      <c r="AL30" s="21">
        <f>IF(AN30=21,J30,0)</f>
        <v>0</v>
      </c>
      <c r="AN30" s="21">
        <v>21</v>
      </c>
      <c r="AO30" s="21">
        <f>G30*0.835878787878788</f>
        <v>0</v>
      </c>
      <c r="AP30" s="21">
        <f>G30*(1-0.835878787878788)</f>
        <v>0</v>
      </c>
      <c r="AQ30" s="23" t="s">
        <v>51</v>
      </c>
      <c r="AV30" s="21">
        <f>AW30+AX30</f>
        <v>0</v>
      </c>
      <c r="AW30" s="21">
        <f>F30*AO30</f>
        <v>0</v>
      </c>
      <c r="AX30" s="21">
        <f>F30*AP30</f>
        <v>0</v>
      </c>
      <c r="AY30" s="23" t="s">
        <v>136</v>
      </c>
      <c r="AZ30" s="23" t="s">
        <v>137</v>
      </c>
      <c r="BA30" s="10" t="s">
        <v>58</v>
      </c>
      <c r="BC30" s="21">
        <f>AW30+AX30</f>
        <v>0</v>
      </c>
      <c r="BD30" s="21">
        <f>G30/(100-BE30)*100</f>
        <v>0</v>
      </c>
      <c r="BE30" s="21">
        <v>0</v>
      </c>
      <c r="BF30" s="21">
        <f>L30</f>
        <v>23.632499999999997</v>
      </c>
      <c r="BH30" s="21">
        <f>F30*AO30</f>
        <v>0</v>
      </c>
      <c r="BI30" s="21">
        <f>F30*AP30</f>
        <v>0</v>
      </c>
      <c r="BJ30" s="21">
        <f>F30*G30</f>
        <v>0</v>
      </c>
      <c r="BK30" s="21" t="s">
        <v>59</v>
      </c>
      <c r="BL30" s="21">
        <v>56</v>
      </c>
    </row>
    <row r="31" spans="1:14" ht="15">
      <c r="A31" s="2"/>
      <c r="B31" s="27" t="s">
        <v>138</v>
      </c>
      <c r="C31" s="639" t="s">
        <v>143</v>
      </c>
      <c r="D31" s="640"/>
      <c r="E31" s="640"/>
      <c r="F31" s="640"/>
      <c r="G31" s="640"/>
      <c r="H31" s="640"/>
      <c r="I31" s="640"/>
      <c r="J31" s="640"/>
      <c r="K31" s="640"/>
      <c r="L31" s="640"/>
      <c r="M31" s="641"/>
      <c r="N31" s="2"/>
    </row>
    <row r="32" spans="1:14" ht="15">
      <c r="A32" s="2"/>
      <c r="C32" s="24" t="s">
        <v>570</v>
      </c>
      <c r="D32" s="24"/>
      <c r="F32" s="25">
        <v>68.5</v>
      </c>
      <c r="M32" s="26"/>
      <c r="N32" s="2"/>
    </row>
    <row r="33" spans="1:64" ht="15">
      <c r="A33" s="20" t="s">
        <v>89</v>
      </c>
      <c r="B33" s="3" t="s">
        <v>169</v>
      </c>
      <c r="C33" s="618" t="s">
        <v>170</v>
      </c>
      <c r="D33" s="608"/>
      <c r="E33" s="3" t="s">
        <v>54</v>
      </c>
      <c r="F33" s="21">
        <v>68.5</v>
      </c>
      <c r="G33" s="537"/>
      <c r="H33" s="21">
        <f>F33*AO33</f>
        <v>0</v>
      </c>
      <c r="I33" s="21">
        <f>F33*AP33</f>
        <v>0</v>
      </c>
      <c r="J33" s="21">
        <f>F33*G33</f>
        <v>0</v>
      </c>
      <c r="K33" s="21">
        <v>0.38314</v>
      </c>
      <c r="L33" s="21">
        <f>F33*K33</f>
        <v>26.245089999999998</v>
      </c>
      <c r="M33" s="22" t="s">
        <v>55</v>
      </c>
      <c r="N33" s="2"/>
      <c r="Z33" s="21">
        <f>IF(AQ33="5",BJ33,0)</f>
        <v>0</v>
      </c>
      <c r="AB33" s="21">
        <f>IF(AQ33="1",BH33,0)</f>
        <v>0</v>
      </c>
      <c r="AC33" s="21">
        <f>IF(AQ33="1",BI33,0)</f>
        <v>0</v>
      </c>
      <c r="AD33" s="21">
        <f>IF(AQ33="7",BH33,0)</f>
        <v>0</v>
      </c>
      <c r="AE33" s="21">
        <f>IF(AQ33="7",BI33,0)</f>
        <v>0</v>
      </c>
      <c r="AF33" s="21">
        <f>IF(AQ33="2",BH33,0)</f>
        <v>0</v>
      </c>
      <c r="AG33" s="21">
        <f>IF(AQ33="2",BI33,0)</f>
        <v>0</v>
      </c>
      <c r="AH33" s="21">
        <f>IF(AQ33="0",BJ33,0)</f>
        <v>0</v>
      </c>
      <c r="AI33" s="10"/>
      <c r="AJ33" s="21">
        <f>IF(AN33=0,J33,0)</f>
        <v>0</v>
      </c>
      <c r="AK33" s="21">
        <f>IF(AN33=15,J33,0)</f>
        <v>0</v>
      </c>
      <c r="AL33" s="21">
        <f>IF(AN33=21,J33,0)</f>
        <v>0</v>
      </c>
      <c r="AN33" s="21">
        <v>21</v>
      </c>
      <c r="AO33" s="21">
        <f>G33*0.898696883852691</f>
        <v>0</v>
      </c>
      <c r="AP33" s="21">
        <f>G33*(1-0.898696883852691)</f>
        <v>0</v>
      </c>
      <c r="AQ33" s="23" t="s">
        <v>51</v>
      </c>
      <c r="AV33" s="21">
        <f>AW33+AX33</f>
        <v>0</v>
      </c>
      <c r="AW33" s="21">
        <f>F33*AO33</f>
        <v>0</v>
      </c>
      <c r="AX33" s="21">
        <f>F33*AP33</f>
        <v>0</v>
      </c>
      <c r="AY33" s="23" t="s">
        <v>136</v>
      </c>
      <c r="AZ33" s="23" t="s">
        <v>137</v>
      </c>
      <c r="BA33" s="10" t="s">
        <v>58</v>
      </c>
      <c r="BC33" s="21">
        <f>AW33+AX33</f>
        <v>0</v>
      </c>
      <c r="BD33" s="21">
        <f>G33/(100-BE33)*100</f>
        <v>0</v>
      </c>
      <c r="BE33" s="21">
        <v>0</v>
      </c>
      <c r="BF33" s="21">
        <f>L33</f>
        <v>26.245089999999998</v>
      </c>
      <c r="BH33" s="21">
        <f>F33*AO33</f>
        <v>0</v>
      </c>
      <c r="BI33" s="21">
        <f>F33*AP33</f>
        <v>0</v>
      </c>
      <c r="BJ33" s="21">
        <f>F33*G33</f>
        <v>0</v>
      </c>
      <c r="BK33" s="21" t="s">
        <v>59</v>
      </c>
      <c r="BL33" s="21">
        <v>56</v>
      </c>
    </row>
    <row r="34" spans="1:14" ht="15">
      <c r="A34" s="2"/>
      <c r="C34" s="24" t="s">
        <v>570</v>
      </c>
      <c r="D34" s="24"/>
      <c r="F34" s="25">
        <v>68.5</v>
      </c>
      <c r="M34" s="26"/>
      <c r="N34" s="2"/>
    </row>
    <row r="35" spans="1:47" ht="15">
      <c r="A35" s="41"/>
      <c r="B35" s="42" t="s">
        <v>175</v>
      </c>
      <c r="C35" s="637" t="s">
        <v>176</v>
      </c>
      <c r="D35" s="638"/>
      <c r="E35" s="43" t="s">
        <v>4</v>
      </c>
      <c r="F35" s="43" t="s">
        <v>4</v>
      </c>
      <c r="G35" s="43" t="s">
        <v>4</v>
      </c>
      <c r="H35" s="44">
        <f>SUM(H36:H36)</f>
        <v>0</v>
      </c>
      <c r="I35" s="44">
        <f>SUM(I36:I36)</f>
        <v>0</v>
      </c>
      <c r="J35" s="44">
        <f>SUM(J36:J36)</f>
        <v>0</v>
      </c>
      <c r="K35" s="45"/>
      <c r="L35" s="44">
        <f>SUM(L36:L36)</f>
        <v>4.0845</v>
      </c>
      <c r="M35" s="46"/>
      <c r="N35" s="2"/>
      <c r="AI35" s="10"/>
      <c r="AS35" s="19">
        <f>SUM(AJ36:AJ36)</f>
        <v>0</v>
      </c>
      <c r="AT35" s="19">
        <f>SUM(AK36:AK36)</f>
        <v>0</v>
      </c>
      <c r="AU35" s="19">
        <f>SUM(AL36:AL36)</f>
        <v>0</v>
      </c>
    </row>
    <row r="36" spans="1:64" ht="15">
      <c r="A36" s="20" t="s">
        <v>94</v>
      </c>
      <c r="B36" s="3" t="s">
        <v>415</v>
      </c>
      <c r="C36" s="618" t="s">
        <v>416</v>
      </c>
      <c r="D36" s="608"/>
      <c r="E36" s="3" t="s">
        <v>54</v>
      </c>
      <c r="F36" s="21">
        <v>17.5</v>
      </c>
      <c r="G36" s="537"/>
      <c r="H36" s="21">
        <f>F36*AO36</f>
        <v>0</v>
      </c>
      <c r="I36" s="21">
        <f>F36*AP36</f>
        <v>0</v>
      </c>
      <c r="J36" s="21">
        <f>F36*G36</f>
        <v>0</v>
      </c>
      <c r="K36" s="21">
        <v>0.2334</v>
      </c>
      <c r="L36" s="21">
        <f>F36*K36</f>
        <v>4.0845</v>
      </c>
      <c r="M36" s="539" t="s">
        <v>2130</v>
      </c>
      <c r="N36" s="2"/>
      <c r="Z36" s="21">
        <f>IF(AQ36="5",BJ36,0)</f>
        <v>0</v>
      </c>
      <c r="AB36" s="21">
        <f>IF(AQ36="1",BH36,0)</f>
        <v>0</v>
      </c>
      <c r="AC36" s="21">
        <f>IF(AQ36="1",BI36,0)</f>
        <v>0</v>
      </c>
      <c r="AD36" s="21">
        <f>IF(AQ36="7",BH36,0)</f>
        <v>0</v>
      </c>
      <c r="AE36" s="21">
        <f>IF(AQ36="7",BI36,0)</f>
        <v>0</v>
      </c>
      <c r="AF36" s="21">
        <f>IF(AQ36="2",BH36,0)</f>
        <v>0</v>
      </c>
      <c r="AG36" s="21">
        <f>IF(AQ36="2",BI36,0)</f>
        <v>0</v>
      </c>
      <c r="AH36" s="21">
        <f>IF(AQ36="0",BJ36,0)</f>
        <v>0</v>
      </c>
      <c r="AI36" s="10"/>
      <c r="AJ36" s="21">
        <f>IF(AN36=0,J36,0)</f>
        <v>0</v>
      </c>
      <c r="AK36" s="21">
        <f>IF(AN36=15,J36,0)</f>
        <v>0</v>
      </c>
      <c r="AL36" s="21">
        <f>IF(AN36=21,J36,0)</f>
        <v>0</v>
      </c>
      <c r="AN36" s="21">
        <v>21</v>
      </c>
      <c r="AO36" s="21">
        <f>G36*0.35065</f>
        <v>0</v>
      </c>
      <c r="AP36" s="21">
        <f>G36*(1-0.35065)</f>
        <v>0</v>
      </c>
      <c r="AQ36" s="23" t="s">
        <v>51</v>
      </c>
      <c r="AV36" s="21">
        <f>AW36+AX36</f>
        <v>0</v>
      </c>
      <c r="AW36" s="21">
        <f>F36*AO36</f>
        <v>0</v>
      </c>
      <c r="AX36" s="21">
        <f>F36*AP36</f>
        <v>0</v>
      </c>
      <c r="AY36" s="23" t="s">
        <v>180</v>
      </c>
      <c r="AZ36" s="23" t="s">
        <v>137</v>
      </c>
      <c r="BA36" s="10" t="s">
        <v>58</v>
      </c>
      <c r="BC36" s="21">
        <f>AW36+AX36</f>
        <v>0</v>
      </c>
      <c r="BD36" s="21">
        <f>G36/(100-BE36)*100</f>
        <v>0</v>
      </c>
      <c r="BE36" s="21">
        <v>0</v>
      </c>
      <c r="BF36" s="21">
        <f>L36</f>
        <v>4.0845</v>
      </c>
      <c r="BH36" s="21">
        <f>F36*AO36</f>
        <v>0</v>
      </c>
      <c r="BI36" s="21">
        <f>F36*AP36</f>
        <v>0</v>
      </c>
      <c r="BJ36" s="21">
        <f>F36*G36</f>
        <v>0</v>
      </c>
      <c r="BK36" s="21" t="s">
        <v>59</v>
      </c>
      <c r="BL36" s="21">
        <v>57</v>
      </c>
    </row>
    <row r="37" spans="1:14" ht="15">
      <c r="A37" s="2"/>
      <c r="C37" s="24" t="s">
        <v>569</v>
      </c>
      <c r="D37" s="24"/>
      <c r="F37" s="25">
        <v>17.5</v>
      </c>
      <c r="M37" s="26"/>
      <c r="N37" s="2"/>
    </row>
    <row r="38" spans="1:14" ht="15">
      <c r="A38" s="2"/>
      <c r="B38" s="27" t="s">
        <v>61</v>
      </c>
      <c r="C38" s="634" t="s">
        <v>417</v>
      </c>
      <c r="D38" s="635"/>
      <c r="E38" s="635"/>
      <c r="F38" s="635"/>
      <c r="G38" s="635"/>
      <c r="H38" s="635"/>
      <c r="I38" s="635"/>
      <c r="J38" s="635"/>
      <c r="K38" s="635"/>
      <c r="L38" s="635"/>
      <c r="M38" s="636"/>
      <c r="N38" s="2"/>
    </row>
    <row r="39" spans="1:47" ht="15">
      <c r="A39" s="41"/>
      <c r="B39" s="42" t="s">
        <v>185</v>
      </c>
      <c r="C39" s="637" t="s">
        <v>186</v>
      </c>
      <c r="D39" s="638"/>
      <c r="E39" s="43" t="s">
        <v>4</v>
      </c>
      <c r="F39" s="43" t="s">
        <v>4</v>
      </c>
      <c r="G39" s="43" t="s">
        <v>4</v>
      </c>
      <c r="H39" s="44">
        <f>SUM(H40:H47)</f>
        <v>0</v>
      </c>
      <c r="I39" s="44">
        <f>SUM(I40:I47)</f>
        <v>0</v>
      </c>
      <c r="J39" s="44">
        <f>SUM(J40:J47)</f>
        <v>0</v>
      </c>
      <c r="K39" s="45"/>
      <c r="L39" s="44">
        <f>SUM(L40:L47)</f>
        <v>17.733549999999997</v>
      </c>
      <c r="M39" s="46"/>
      <c r="N39" s="2"/>
      <c r="AI39" s="10"/>
      <c r="AS39" s="19">
        <f>SUM(AJ40:AJ47)</f>
        <v>0</v>
      </c>
      <c r="AT39" s="19">
        <f>SUM(AK40:AK47)</f>
        <v>0</v>
      </c>
      <c r="AU39" s="19">
        <f>SUM(AL40:AL47)</f>
        <v>0</v>
      </c>
    </row>
    <row r="40" spans="1:64" ht="15">
      <c r="A40" s="20" t="s">
        <v>98</v>
      </c>
      <c r="B40" s="3" t="s">
        <v>188</v>
      </c>
      <c r="C40" s="618" t="s">
        <v>189</v>
      </c>
      <c r="D40" s="608"/>
      <c r="E40" s="3" t="s">
        <v>54</v>
      </c>
      <c r="F40" s="21">
        <v>68.5</v>
      </c>
      <c r="G40" s="537"/>
      <c r="H40" s="21">
        <f>F40*AO40</f>
        <v>0</v>
      </c>
      <c r="I40" s="21">
        <f>F40*AP40</f>
        <v>0</v>
      </c>
      <c r="J40" s="21">
        <f>F40*G40</f>
        <v>0</v>
      </c>
      <c r="K40" s="21">
        <v>0.0739</v>
      </c>
      <c r="L40" s="21">
        <f>F40*K40</f>
        <v>5.06215</v>
      </c>
      <c r="M40" s="22" t="s">
        <v>55</v>
      </c>
      <c r="N40" s="2"/>
      <c r="Z40" s="21">
        <f>IF(AQ40="5",BJ40,0)</f>
        <v>0</v>
      </c>
      <c r="AB40" s="21">
        <f>IF(AQ40="1",BH40,0)</f>
        <v>0</v>
      </c>
      <c r="AC40" s="21">
        <f>IF(AQ40="1",BI40,0)</f>
        <v>0</v>
      </c>
      <c r="AD40" s="21">
        <f>IF(AQ40="7",BH40,0)</f>
        <v>0</v>
      </c>
      <c r="AE40" s="21">
        <f>IF(AQ40="7",BI40,0)</f>
        <v>0</v>
      </c>
      <c r="AF40" s="21">
        <f>IF(AQ40="2",BH40,0)</f>
        <v>0</v>
      </c>
      <c r="AG40" s="21">
        <f>IF(AQ40="2",BI40,0)</f>
        <v>0</v>
      </c>
      <c r="AH40" s="21">
        <f>IF(AQ40="0",BJ40,0)</f>
        <v>0</v>
      </c>
      <c r="AI40" s="10"/>
      <c r="AJ40" s="21">
        <f>IF(AN40=0,J40,0)</f>
        <v>0</v>
      </c>
      <c r="AK40" s="21">
        <f>IF(AN40=15,J40,0)</f>
        <v>0</v>
      </c>
      <c r="AL40" s="21">
        <f>IF(AN40=21,J40,0)</f>
        <v>0</v>
      </c>
      <c r="AN40" s="21">
        <v>21</v>
      </c>
      <c r="AO40" s="21">
        <f>G40*0.144991452991453</f>
        <v>0</v>
      </c>
      <c r="AP40" s="21">
        <f>G40*(1-0.144991452991453)</f>
        <v>0</v>
      </c>
      <c r="AQ40" s="23" t="s">
        <v>51</v>
      </c>
      <c r="AV40" s="21">
        <f>AW40+AX40</f>
        <v>0</v>
      </c>
      <c r="AW40" s="21">
        <f>F40*AO40</f>
        <v>0</v>
      </c>
      <c r="AX40" s="21">
        <f>F40*AP40</f>
        <v>0</v>
      </c>
      <c r="AY40" s="23" t="s">
        <v>190</v>
      </c>
      <c r="AZ40" s="23" t="s">
        <v>137</v>
      </c>
      <c r="BA40" s="10" t="s">
        <v>58</v>
      </c>
      <c r="BC40" s="21">
        <f>AW40+AX40</f>
        <v>0</v>
      </c>
      <c r="BD40" s="21">
        <f>G40/(100-BE40)*100</f>
        <v>0</v>
      </c>
      <c r="BE40" s="21">
        <v>0</v>
      </c>
      <c r="BF40" s="21">
        <f>L40</f>
        <v>5.06215</v>
      </c>
      <c r="BH40" s="21">
        <f>F40*AO40</f>
        <v>0</v>
      </c>
      <c r="BI40" s="21">
        <f>F40*AP40</f>
        <v>0</v>
      </c>
      <c r="BJ40" s="21">
        <f>F40*G40</f>
        <v>0</v>
      </c>
      <c r="BK40" s="21" t="s">
        <v>59</v>
      </c>
      <c r="BL40" s="21">
        <v>59</v>
      </c>
    </row>
    <row r="41" spans="1:14" ht="15">
      <c r="A41" s="2"/>
      <c r="C41" s="24" t="s">
        <v>570</v>
      </c>
      <c r="D41" s="24"/>
      <c r="F41" s="25">
        <v>68.5</v>
      </c>
      <c r="M41" s="26"/>
      <c r="N41" s="2"/>
    </row>
    <row r="42" spans="1:14" ht="25.65" customHeight="1">
      <c r="A42" s="2"/>
      <c r="B42" s="27" t="s">
        <v>61</v>
      </c>
      <c r="C42" s="634" t="s">
        <v>197</v>
      </c>
      <c r="D42" s="635"/>
      <c r="E42" s="635"/>
      <c r="F42" s="635"/>
      <c r="G42" s="635"/>
      <c r="H42" s="635"/>
      <c r="I42" s="635"/>
      <c r="J42" s="635"/>
      <c r="K42" s="635"/>
      <c r="L42" s="635"/>
      <c r="M42" s="636"/>
      <c r="N42" s="2"/>
    </row>
    <row r="43" spans="1:64" ht="15">
      <c r="A43" s="20" t="s">
        <v>104</v>
      </c>
      <c r="B43" s="3" t="s">
        <v>491</v>
      </c>
      <c r="C43" s="618" t="s">
        <v>492</v>
      </c>
      <c r="D43" s="608"/>
      <c r="E43" s="3" t="s">
        <v>54</v>
      </c>
      <c r="F43" s="21">
        <v>71.925</v>
      </c>
      <c r="G43" s="537"/>
      <c r="H43" s="21">
        <f>F43*AO43</f>
        <v>0</v>
      </c>
      <c r="I43" s="21">
        <f>F43*AP43</f>
        <v>0</v>
      </c>
      <c r="J43" s="21">
        <f>F43*G43</f>
        <v>0</v>
      </c>
      <c r="K43" s="21">
        <v>0.176</v>
      </c>
      <c r="L43" s="21">
        <f>F43*K43</f>
        <v>12.6588</v>
      </c>
      <c r="M43" s="22" t="s">
        <v>55</v>
      </c>
      <c r="N43" s="2"/>
      <c r="Z43" s="21">
        <f>IF(AQ43="5",BJ43,0)</f>
        <v>0</v>
      </c>
      <c r="AB43" s="21">
        <f>IF(AQ43="1",BH43,0)</f>
        <v>0</v>
      </c>
      <c r="AC43" s="21">
        <f>IF(AQ43="1",BI43,0)</f>
        <v>0</v>
      </c>
      <c r="AD43" s="21">
        <f>IF(AQ43="7",BH43,0)</f>
        <v>0</v>
      </c>
      <c r="AE43" s="21">
        <f>IF(AQ43="7",BI43,0)</f>
        <v>0</v>
      </c>
      <c r="AF43" s="21">
        <f>IF(AQ43="2",BH43,0)</f>
        <v>0</v>
      </c>
      <c r="AG43" s="21">
        <f>IF(AQ43="2",BI43,0)</f>
        <v>0</v>
      </c>
      <c r="AH43" s="21">
        <f>IF(AQ43="0",BJ43,0)</f>
        <v>0</v>
      </c>
      <c r="AI43" s="10"/>
      <c r="AJ43" s="21">
        <f>IF(AN43=0,J43,0)</f>
        <v>0</v>
      </c>
      <c r="AK43" s="21">
        <f>IF(AN43=15,J43,0)</f>
        <v>0</v>
      </c>
      <c r="AL43" s="21">
        <f>IF(AN43=21,J43,0)</f>
        <v>0</v>
      </c>
      <c r="AN43" s="21">
        <v>21</v>
      </c>
      <c r="AO43" s="21">
        <f>G43*1</f>
        <v>0</v>
      </c>
      <c r="AP43" s="21">
        <f>G43*(1-1)</f>
        <v>0</v>
      </c>
      <c r="AQ43" s="23" t="s">
        <v>51</v>
      </c>
      <c r="AV43" s="21">
        <f>AW43+AX43</f>
        <v>0</v>
      </c>
      <c r="AW43" s="21">
        <f>F43*AO43</f>
        <v>0</v>
      </c>
      <c r="AX43" s="21">
        <f>F43*AP43</f>
        <v>0</v>
      </c>
      <c r="AY43" s="23" t="s">
        <v>190</v>
      </c>
      <c r="AZ43" s="23" t="s">
        <v>137</v>
      </c>
      <c r="BA43" s="10" t="s">
        <v>58</v>
      </c>
      <c r="BC43" s="21">
        <f>AW43+AX43</f>
        <v>0</v>
      </c>
      <c r="BD43" s="21">
        <f>G43/(100-BE43)*100</f>
        <v>0</v>
      </c>
      <c r="BE43" s="21">
        <v>0</v>
      </c>
      <c r="BF43" s="21">
        <f>L43</f>
        <v>12.6588</v>
      </c>
      <c r="BH43" s="21">
        <f>F43*AO43</f>
        <v>0</v>
      </c>
      <c r="BI43" s="21">
        <f>F43*AP43</f>
        <v>0</v>
      </c>
      <c r="BJ43" s="21">
        <f>F43*G43</f>
        <v>0</v>
      </c>
      <c r="BK43" s="21" t="s">
        <v>201</v>
      </c>
      <c r="BL43" s="21">
        <v>59</v>
      </c>
    </row>
    <row r="44" spans="1:14" ht="15">
      <c r="A44" s="2"/>
      <c r="C44" s="24" t="s">
        <v>570</v>
      </c>
      <c r="D44" s="24"/>
      <c r="F44" s="25">
        <v>68.5</v>
      </c>
      <c r="M44" s="26"/>
      <c r="N44" s="2"/>
    </row>
    <row r="45" spans="1:14" ht="15">
      <c r="A45" s="2"/>
      <c r="C45" s="24" t="s">
        <v>571</v>
      </c>
      <c r="D45" s="24"/>
      <c r="F45" s="25">
        <v>3.425</v>
      </c>
      <c r="M45" s="26"/>
      <c r="N45" s="2"/>
    </row>
    <row r="46" spans="1:14" ht="15">
      <c r="A46" s="2"/>
      <c r="B46" s="27" t="s">
        <v>61</v>
      </c>
      <c r="C46" s="634"/>
      <c r="D46" s="635"/>
      <c r="E46" s="635"/>
      <c r="F46" s="635"/>
      <c r="G46" s="635"/>
      <c r="H46" s="635"/>
      <c r="I46" s="635"/>
      <c r="J46" s="635"/>
      <c r="K46" s="635"/>
      <c r="L46" s="635"/>
      <c r="M46" s="636"/>
      <c r="N46" s="2"/>
    </row>
    <row r="47" spans="1:64" ht="15">
      <c r="A47" s="20" t="s">
        <v>49</v>
      </c>
      <c r="B47" s="3" t="s">
        <v>230</v>
      </c>
      <c r="C47" s="618" t="s">
        <v>231</v>
      </c>
      <c r="D47" s="608"/>
      <c r="E47" s="3" t="s">
        <v>74</v>
      </c>
      <c r="F47" s="21">
        <v>35</v>
      </c>
      <c r="G47" s="537"/>
      <c r="H47" s="21">
        <f>F47*AO47</f>
        <v>0</v>
      </c>
      <c r="I47" s="21">
        <f>F47*AP47</f>
        <v>0</v>
      </c>
      <c r="J47" s="21">
        <f>F47*G47</f>
        <v>0</v>
      </c>
      <c r="K47" s="21">
        <v>0.00036</v>
      </c>
      <c r="L47" s="21">
        <f>F47*K47</f>
        <v>0.0126</v>
      </c>
      <c r="M47" s="22" t="s">
        <v>55</v>
      </c>
      <c r="N47" s="2"/>
      <c r="Z47" s="21">
        <f>IF(AQ47="5",BJ47,0)</f>
        <v>0</v>
      </c>
      <c r="AB47" s="21">
        <f>IF(AQ47="1",BH47,0)</f>
        <v>0</v>
      </c>
      <c r="AC47" s="21">
        <f>IF(AQ47="1",BI47,0)</f>
        <v>0</v>
      </c>
      <c r="AD47" s="21">
        <f>IF(AQ47="7",BH47,0)</f>
        <v>0</v>
      </c>
      <c r="AE47" s="21">
        <f>IF(AQ47="7",BI47,0)</f>
        <v>0</v>
      </c>
      <c r="AF47" s="21">
        <f>IF(AQ47="2",BH47,0)</f>
        <v>0</v>
      </c>
      <c r="AG47" s="21">
        <f>IF(AQ47="2",BI47,0)</f>
        <v>0</v>
      </c>
      <c r="AH47" s="21">
        <f>IF(AQ47="0",BJ47,0)</f>
        <v>0</v>
      </c>
      <c r="AI47" s="10"/>
      <c r="AJ47" s="21">
        <f>IF(AN47=0,J47,0)</f>
        <v>0</v>
      </c>
      <c r="AK47" s="21">
        <f>IF(AN47=15,J47,0)</f>
        <v>0</v>
      </c>
      <c r="AL47" s="21">
        <f>IF(AN47=21,J47,0)</f>
        <v>0</v>
      </c>
      <c r="AN47" s="21">
        <v>21</v>
      </c>
      <c r="AO47" s="21">
        <f>G47*0.0615708812260536</f>
        <v>0</v>
      </c>
      <c r="AP47" s="21">
        <f>G47*(1-0.0615708812260536)</f>
        <v>0</v>
      </c>
      <c r="AQ47" s="23" t="s">
        <v>51</v>
      </c>
      <c r="AV47" s="21">
        <f>AW47+AX47</f>
        <v>0</v>
      </c>
      <c r="AW47" s="21">
        <f>F47*AO47</f>
        <v>0</v>
      </c>
      <c r="AX47" s="21">
        <f>F47*AP47</f>
        <v>0</v>
      </c>
      <c r="AY47" s="23" t="s">
        <v>190</v>
      </c>
      <c r="AZ47" s="23" t="s">
        <v>137</v>
      </c>
      <c r="BA47" s="10" t="s">
        <v>58</v>
      </c>
      <c r="BC47" s="21">
        <f>AW47+AX47</f>
        <v>0</v>
      </c>
      <c r="BD47" s="21">
        <f>G47/(100-BE47)*100</f>
        <v>0</v>
      </c>
      <c r="BE47" s="21">
        <v>0</v>
      </c>
      <c r="BF47" s="21">
        <f>L47</f>
        <v>0.0126</v>
      </c>
      <c r="BH47" s="21">
        <f>F47*AO47</f>
        <v>0</v>
      </c>
      <c r="BI47" s="21">
        <f>F47*AP47</f>
        <v>0</v>
      </c>
      <c r="BJ47" s="21">
        <f>F47*G47</f>
        <v>0</v>
      </c>
      <c r="BK47" s="21" t="s">
        <v>59</v>
      </c>
      <c r="BL47" s="21">
        <v>59</v>
      </c>
    </row>
    <row r="48" spans="1:14" ht="15">
      <c r="A48" s="2"/>
      <c r="C48" s="24" t="s">
        <v>112</v>
      </c>
      <c r="D48" s="24"/>
      <c r="F48" s="25">
        <v>35</v>
      </c>
      <c r="M48" s="26"/>
      <c r="N48" s="2"/>
    </row>
    <row r="49" spans="1:47" ht="15">
      <c r="A49" s="41"/>
      <c r="B49" s="42" t="s">
        <v>294</v>
      </c>
      <c r="C49" s="637" t="s">
        <v>295</v>
      </c>
      <c r="D49" s="638"/>
      <c r="E49" s="43" t="s">
        <v>4</v>
      </c>
      <c r="F49" s="43" t="s">
        <v>4</v>
      </c>
      <c r="G49" s="43" t="s">
        <v>4</v>
      </c>
      <c r="H49" s="44">
        <f>SUM(H50:H53)</f>
        <v>0</v>
      </c>
      <c r="I49" s="44">
        <f>SUM(I50:I53)</f>
        <v>0</v>
      </c>
      <c r="J49" s="44">
        <f>SUM(J50:J53)</f>
        <v>0</v>
      </c>
      <c r="K49" s="45"/>
      <c r="L49" s="44">
        <f>SUM(L50:L53)</f>
        <v>7.38549</v>
      </c>
      <c r="M49" s="46"/>
      <c r="N49" s="2"/>
      <c r="AI49" s="10"/>
      <c r="AS49" s="19">
        <f>SUM(AJ50:AJ53)</f>
        <v>0</v>
      </c>
      <c r="AT49" s="19">
        <f>SUM(AK50:AK53)</f>
        <v>0</v>
      </c>
      <c r="AU49" s="19">
        <f>SUM(AL50:AL53)</f>
        <v>0</v>
      </c>
    </row>
    <row r="50" spans="1:64" ht="15">
      <c r="A50" s="20" t="s">
        <v>76</v>
      </c>
      <c r="B50" s="3" t="s">
        <v>297</v>
      </c>
      <c r="C50" s="618" t="s">
        <v>298</v>
      </c>
      <c r="D50" s="608"/>
      <c r="E50" s="3" t="s">
        <v>74</v>
      </c>
      <c r="F50" s="21">
        <v>31.5</v>
      </c>
      <c r="G50" s="537"/>
      <c r="H50" s="21">
        <f>F50*AO50</f>
        <v>0</v>
      </c>
      <c r="I50" s="21">
        <f>F50*AP50</f>
        <v>0</v>
      </c>
      <c r="J50" s="21">
        <f>F50*G50</f>
        <v>0</v>
      </c>
      <c r="K50" s="21">
        <v>0.188</v>
      </c>
      <c r="L50" s="21">
        <f>F50*K50</f>
        <v>5.922</v>
      </c>
      <c r="M50" s="22" t="s">
        <v>55</v>
      </c>
      <c r="N50" s="2"/>
      <c r="Z50" s="21">
        <f>IF(AQ50="5",BJ50,0)</f>
        <v>0</v>
      </c>
      <c r="AB50" s="21">
        <f>IF(AQ50="1",BH50,0)</f>
        <v>0</v>
      </c>
      <c r="AC50" s="21">
        <f>IF(AQ50="1",BI50,0)</f>
        <v>0</v>
      </c>
      <c r="AD50" s="21">
        <f>IF(AQ50="7",BH50,0)</f>
        <v>0</v>
      </c>
      <c r="AE50" s="21">
        <f>IF(AQ50="7",BI50,0)</f>
        <v>0</v>
      </c>
      <c r="AF50" s="21">
        <f>IF(AQ50="2",BH50,0)</f>
        <v>0</v>
      </c>
      <c r="AG50" s="21">
        <f>IF(AQ50="2",BI50,0)</f>
        <v>0</v>
      </c>
      <c r="AH50" s="21">
        <f>IF(AQ50="0",BJ50,0)</f>
        <v>0</v>
      </c>
      <c r="AI50" s="10"/>
      <c r="AJ50" s="21">
        <f>IF(AN50=0,J50,0)</f>
        <v>0</v>
      </c>
      <c r="AK50" s="21">
        <f>IF(AN50=15,J50,0)</f>
        <v>0</v>
      </c>
      <c r="AL50" s="21">
        <f>IF(AN50=21,J50,0)</f>
        <v>0</v>
      </c>
      <c r="AN50" s="21">
        <v>21</v>
      </c>
      <c r="AO50" s="21">
        <f>G50*0.559380097879282</f>
        <v>0</v>
      </c>
      <c r="AP50" s="21">
        <f>G50*(1-0.559380097879282)</f>
        <v>0</v>
      </c>
      <c r="AQ50" s="23" t="s">
        <v>51</v>
      </c>
      <c r="AV50" s="21">
        <f>AW50+AX50</f>
        <v>0</v>
      </c>
      <c r="AW50" s="21">
        <f>F50*AO50</f>
        <v>0</v>
      </c>
      <c r="AX50" s="21">
        <f>F50*AP50</f>
        <v>0</v>
      </c>
      <c r="AY50" s="23" t="s">
        <v>299</v>
      </c>
      <c r="AZ50" s="23" t="s">
        <v>300</v>
      </c>
      <c r="BA50" s="10" t="s">
        <v>58</v>
      </c>
      <c r="BC50" s="21">
        <f>AW50+AX50</f>
        <v>0</v>
      </c>
      <c r="BD50" s="21">
        <f>G50/(100-BE50)*100</f>
        <v>0</v>
      </c>
      <c r="BE50" s="21">
        <v>0</v>
      </c>
      <c r="BF50" s="21">
        <f>L50</f>
        <v>5.922</v>
      </c>
      <c r="BH50" s="21">
        <f>F50*AO50</f>
        <v>0</v>
      </c>
      <c r="BI50" s="21">
        <f>F50*AP50</f>
        <v>0</v>
      </c>
      <c r="BJ50" s="21">
        <f>F50*G50</f>
        <v>0</v>
      </c>
      <c r="BK50" s="21" t="s">
        <v>59</v>
      </c>
      <c r="BL50" s="21">
        <v>91</v>
      </c>
    </row>
    <row r="51" spans="1:14" ht="15">
      <c r="A51" s="2"/>
      <c r="C51" s="24" t="s">
        <v>572</v>
      </c>
      <c r="D51" s="24"/>
      <c r="F51" s="25">
        <v>31.5</v>
      </c>
      <c r="M51" s="26"/>
      <c r="N51" s="2"/>
    </row>
    <row r="52" spans="1:14" ht="15">
      <c r="A52" s="2"/>
      <c r="B52" s="27" t="s">
        <v>61</v>
      </c>
      <c r="C52" s="634" t="s">
        <v>304</v>
      </c>
      <c r="D52" s="635"/>
      <c r="E52" s="635"/>
      <c r="F52" s="635"/>
      <c r="G52" s="635"/>
      <c r="H52" s="635"/>
      <c r="I52" s="635"/>
      <c r="J52" s="635"/>
      <c r="K52" s="635"/>
      <c r="L52" s="635"/>
      <c r="M52" s="636"/>
      <c r="N52" s="2"/>
    </row>
    <row r="53" spans="1:64" ht="15">
      <c r="A53" s="20" t="s">
        <v>75</v>
      </c>
      <c r="B53" s="3" t="s">
        <v>310</v>
      </c>
      <c r="C53" s="618" t="s">
        <v>311</v>
      </c>
      <c r="D53" s="608"/>
      <c r="E53" s="3" t="s">
        <v>260</v>
      </c>
      <c r="F53" s="21">
        <v>31.815</v>
      </c>
      <c r="G53" s="537"/>
      <c r="H53" s="21">
        <f>F53*AO53</f>
        <v>0</v>
      </c>
      <c r="I53" s="21">
        <f>F53*AP53</f>
        <v>0</v>
      </c>
      <c r="J53" s="21">
        <f>F53*G53</f>
        <v>0</v>
      </c>
      <c r="K53" s="21">
        <v>0.046</v>
      </c>
      <c r="L53" s="21">
        <f>F53*K53</f>
        <v>1.46349</v>
      </c>
      <c r="M53" s="22" t="s">
        <v>55</v>
      </c>
      <c r="N53" s="2"/>
      <c r="Z53" s="21">
        <f>IF(AQ53="5",BJ53,0)</f>
        <v>0</v>
      </c>
      <c r="AB53" s="21">
        <f>IF(AQ53="1",BH53,0)</f>
        <v>0</v>
      </c>
      <c r="AC53" s="21">
        <f>IF(AQ53="1",BI53,0)</f>
        <v>0</v>
      </c>
      <c r="AD53" s="21">
        <f>IF(AQ53="7",BH53,0)</f>
        <v>0</v>
      </c>
      <c r="AE53" s="21">
        <f>IF(AQ53="7",BI53,0)</f>
        <v>0</v>
      </c>
      <c r="AF53" s="21">
        <f>IF(AQ53="2",BH53,0)</f>
        <v>0</v>
      </c>
      <c r="AG53" s="21">
        <f>IF(AQ53="2",BI53,0)</f>
        <v>0</v>
      </c>
      <c r="AH53" s="21">
        <f>IF(AQ53="0",BJ53,0)</f>
        <v>0</v>
      </c>
      <c r="AI53" s="10"/>
      <c r="AJ53" s="21">
        <f>IF(AN53=0,J53,0)</f>
        <v>0</v>
      </c>
      <c r="AK53" s="21">
        <f>IF(AN53=15,J53,0)</f>
        <v>0</v>
      </c>
      <c r="AL53" s="21">
        <f>IF(AN53=21,J53,0)</f>
        <v>0</v>
      </c>
      <c r="AN53" s="21">
        <v>21</v>
      </c>
      <c r="AO53" s="21">
        <f>G53*1</f>
        <v>0</v>
      </c>
      <c r="AP53" s="21">
        <f>G53*(1-1)</f>
        <v>0</v>
      </c>
      <c r="AQ53" s="23" t="s">
        <v>51</v>
      </c>
      <c r="AV53" s="21">
        <f>AW53+AX53</f>
        <v>0</v>
      </c>
      <c r="AW53" s="21">
        <f>F53*AO53</f>
        <v>0</v>
      </c>
      <c r="AX53" s="21">
        <f>F53*AP53</f>
        <v>0</v>
      </c>
      <c r="AY53" s="23" t="s">
        <v>299</v>
      </c>
      <c r="AZ53" s="23" t="s">
        <v>300</v>
      </c>
      <c r="BA53" s="10" t="s">
        <v>58</v>
      </c>
      <c r="BC53" s="21">
        <f>AW53+AX53</f>
        <v>0</v>
      </c>
      <c r="BD53" s="21">
        <f>G53/(100-BE53)*100</f>
        <v>0</v>
      </c>
      <c r="BE53" s="21">
        <v>0</v>
      </c>
      <c r="BF53" s="21">
        <f>L53</f>
        <v>1.46349</v>
      </c>
      <c r="BH53" s="21">
        <f>F53*AO53</f>
        <v>0</v>
      </c>
      <c r="BI53" s="21">
        <f>F53*AP53</f>
        <v>0</v>
      </c>
      <c r="BJ53" s="21">
        <f>F53*G53</f>
        <v>0</v>
      </c>
      <c r="BK53" s="21" t="s">
        <v>201</v>
      </c>
      <c r="BL53" s="21">
        <v>91</v>
      </c>
    </row>
    <row r="54" spans="1:14" ht="15">
      <c r="A54" s="2"/>
      <c r="C54" s="24" t="s">
        <v>572</v>
      </c>
      <c r="D54" s="24"/>
      <c r="F54" s="25">
        <v>31.5</v>
      </c>
      <c r="M54" s="26"/>
      <c r="N54" s="2"/>
    </row>
    <row r="55" spans="1:14" ht="15">
      <c r="A55" s="2"/>
      <c r="C55" s="24" t="s">
        <v>573</v>
      </c>
      <c r="D55" s="24"/>
      <c r="F55" s="25">
        <v>0.315</v>
      </c>
      <c r="M55" s="26"/>
      <c r="N55" s="2"/>
    </row>
    <row r="56" spans="1:14" ht="15">
      <c r="A56" s="2"/>
      <c r="B56" s="27"/>
      <c r="C56" s="634"/>
      <c r="D56" s="635"/>
      <c r="E56" s="635"/>
      <c r="F56" s="635"/>
      <c r="G56" s="635"/>
      <c r="H56" s="635"/>
      <c r="I56" s="635"/>
      <c r="J56" s="635"/>
      <c r="K56" s="635"/>
      <c r="L56" s="635"/>
      <c r="M56" s="636"/>
      <c r="N56" s="2"/>
    </row>
    <row r="57" spans="1:47" ht="15">
      <c r="A57" s="41"/>
      <c r="B57" s="42" t="s">
        <v>424</v>
      </c>
      <c r="C57" s="637" t="s">
        <v>425</v>
      </c>
      <c r="D57" s="638"/>
      <c r="E57" s="43" t="s">
        <v>4</v>
      </c>
      <c r="F57" s="43" t="s">
        <v>4</v>
      </c>
      <c r="G57" s="43" t="s">
        <v>4</v>
      </c>
      <c r="H57" s="44">
        <f>SUM(H58:H58)</f>
        <v>0</v>
      </c>
      <c r="I57" s="44">
        <f>SUM(I58:I58)</f>
        <v>0</v>
      </c>
      <c r="J57" s="44">
        <f>SUM(J58:J58)</f>
        <v>0</v>
      </c>
      <c r="K57" s="45"/>
      <c r="L57" s="44">
        <f>SUM(L58:L58)</f>
        <v>0</v>
      </c>
      <c r="M57" s="46"/>
      <c r="N57" s="2"/>
      <c r="AI57" s="10"/>
      <c r="AS57" s="19">
        <f>SUM(AJ58:AJ58)</f>
        <v>0</v>
      </c>
      <c r="AT57" s="19">
        <f>SUM(AK58:AK58)</f>
        <v>0</v>
      </c>
      <c r="AU57" s="19">
        <f>SUM(AL58:AL58)</f>
        <v>0</v>
      </c>
    </row>
    <row r="58" spans="1:64" ht="15">
      <c r="A58" s="28" t="s">
        <v>128</v>
      </c>
      <c r="B58" s="29" t="s">
        <v>426</v>
      </c>
      <c r="C58" s="642" t="s">
        <v>427</v>
      </c>
      <c r="D58" s="643"/>
      <c r="E58" s="29" t="s">
        <v>125</v>
      </c>
      <c r="F58" s="30">
        <v>86.43113</v>
      </c>
      <c r="G58" s="538"/>
      <c r="H58" s="30">
        <f>F58*AO58</f>
        <v>0</v>
      </c>
      <c r="I58" s="30">
        <f>F58*AP58</f>
        <v>0</v>
      </c>
      <c r="J58" s="30">
        <f>F58*G58</f>
        <v>0</v>
      </c>
      <c r="K58" s="30">
        <v>0</v>
      </c>
      <c r="L58" s="30">
        <f>F58*K58</f>
        <v>0</v>
      </c>
      <c r="M58" s="31" t="s">
        <v>55</v>
      </c>
      <c r="N58" s="2"/>
      <c r="Z58" s="21">
        <f>IF(AQ58="5",BJ58,0)</f>
        <v>0</v>
      </c>
      <c r="AB58" s="21">
        <f>IF(AQ58="1",BH58,0)</f>
        <v>0</v>
      </c>
      <c r="AC58" s="21">
        <f>IF(AQ58="1",BI58,0)</f>
        <v>0</v>
      </c>
      <c r="AD58" s="21">
        <f>IF(AQ58="7",BH58,0)</f>
        <v>0</v>
      </c>
      <c r="AE58" s="21">
        <f>IF(AQ58="7",BI58,0)</f>
        <v>0</v>
      </c>
      <c r="AF58" s="21">
        <f>IF(AQ58="2",BH58,0)</f>
        <v>0</v>
      </c>
      <c r="AG58" s="21">
        <f>IF(AQ58="2",BI58,0)</f>
        <v>0</v>
      </c>
      <c r="AH58" s="21">
        <f>IF(AQ58="0",BJ58,0)</f>
        <v>0</v>
      </c>
      <c r="AI58" s="10"/>
      <c r="AJ58" s="21">
        <f>IF(AN58=0,J58,0)</f>
        <v>0</v>
      </c>
      <c r="AK58" s="21">
        <f>IF(AN58=15,J58,0)</f>
        <v>0</v>
      </c>
      <c r="AL58" s="21">
        <f>IF(AN58=21,J58,0)</f>
        <v>0</v>
      </c>
      <c r="AN58" s="21">
        <v>21</v>
      </c>
      <c r="AO58" s="21">
        <f>G58*0</f>
        <v>0</v>
      </c>
      <c r="AP58" s="21">
        <f>G58*(1-0)</f>
        <v>0</v>
      </c>
      <c r="AQ58" s="23" t="s">
        <v>78</v>
      </c>
      <c r="AV58" s="21">
        <f>AW58+AX58</f>
        <v>0</v>
      </c>
      <c r="AW58" s="21">
        <f>F58*AO58</f>
        <v>0</v>
      </c>
      <c r="AX58" s="21">
        <f>F58*AP58</f>
        <v>0</v>
      </c>
      <c r="AY58" s="23" t="s">
        <v>428</v>
      </c>
      <c r="AZ58" s="23" t="s">
        <v>300</v>
      </c>
      <c r="BA58" s="10" t="s">
        <v>58</v>
      </c>
      <c r="BC58" s="21">
        <f>AW58+AX58</f>
        <v>0</v>
      </c>
      <c r="BD58" s="21">
        <f>G58/(100-BE58)*100</f>
        <v>0</v>
      </c>
      <c r="BE58" s="21">
        <v>0</v>
      </c>
      <c r="BF58" s="21">
        <f>L58</f>
        <v>0</v>
      </c>
      <c r="BH58" s="21">
        <f>F58*AO58</f>
        <v>0</v>
      </c>
      <c r="BI58" s="21">
        <f>F58*AP58</f>
        <v>0</v>
      </c>
      <c r="BJ58" s="21">
        <f>F58*G58</f>
        <v>0</v>
      </c>
      <c r="BK58" s="21" t="s">
        <v>59</v>
      </c>
      <c r="BL58" s="21" t="s">
        <v>424</v>
      </c>
    </row>
    <row r="59" spans="1:13" ht="15">
      <c r="A59" s="32"/>
      <c r="B59" s="32"/>
      <c r="C59" s="32"/>
      <c r="D59" s="32"/>
      <c r="E59" s="32"/>
      <c r="F59" s="32"/>
      <c r="G59" s="32"/>
      <c r="H59" s="644" t="s">
        <v>397</v>
      </c>
      <c r="I59" s="610"/>
      <c r="J59" s="33">
        <f>J12+J16+J19+J23+J26+J35+J39+J49+J57</f>
        <v>0</v>
      </c>
      <c r="K59" s="32"/>
      <c r="L59" s="32"/>
      <c r="M59" s="32"/>
    </row>
    <row r="60" ht="11.25" customHeight="1">
      <c r="A60" s="34" t="s">
        <v>398</v>
      </c>
    </row>
    <row r="61" spans="1:13" ht="15">
      <c r="A61" s="617"/>
      <c r="B61" s="608"/>
      <c r="C61" s="608"/>
      <c r="D61" s="608"/>
      <c r="E61" s="608"/>
      <c r="F61" s="608"/>
      <c r="G61" s="608"/>
      <c r="H61" s="608"/>
      <c r="I61" s="608"/>
      <c r="J61" s="608"/>
      <c r="K61" s="608"/>
      <c r="L61" s="608"/>
      <c r="M61" s="608"/>
    </row>
  </sheetData>
  <sheetProtection algorithmName="SHA-512" hashValue="J9UZraCOnYkE4jSDRZBHkG6DP5J0VEfrijnp6nBTiTzwnkSNnIOc0RucF4kiSnEOcXjr5lHRJdOkbXVN3sShIQ==" saltValue="tqwM6KkJY71QnD3z3ZfrOw==" spinCount="100000" sheet="1" objects="1" scenarios="1"/>
  <mergeCells count="63">
    <mergeCell ref="H59:I59"/>
    <mergeCell ref="A61:M61"/>
    <mergeCell ref="C50:D50"/>
    <mergeCell ref="C52:M52"/>
    <mergeCell ref="C53:D53"/>
    <mergeCell ref="C56:M56"/>
    <mergeCell ref="C57:D57"/>
    <mergeCell ref="C58:D58"/>
    <mergeCell ref="C49:D49"/>
    <mergeCell ref="C31:M31"/>
    <mergeCell ref="C33:D33"/>
    <mergeCell ref="C35:D35"/>
    <mergeCell ref="C36:D36"/>
    <mergeCell ref="C38:M38"/>
    <mergeCell ref="C39:D39"/>
    <mergeCell ref="C40:D40"/>
    <mergeCell ref="C42:M42"/>
    <mergeCell ref="C43:D43"/>
    <mergeCell ref="C46:M46"/>
    <mergeCell ref="C47:D47"/>
    <mergeCell ref="H10:J10"/>
    <mergeCell ref="K10:L10"/>
    <mergeCell ref="C11:D11"/>
    <mergeCell ref="C12:D12"/>
    <mergeCell ref="C30:D30"/>
    <mergeCell ref="C15:M15"/>
    <mergeCell ref="C16:D16"/>
    <mergeCell ref="C17:D17"/>
    <mergeCell ref="C19:D19"/>
    <mergeCell ref="C20:D20"/>
    <mergeCell ref="C22:M22"/>
    <mergeCell ref="C23:D23"/>
    <mergeCell ref="C24:D24"/>
    <mergeCell ref="C26:D26"/>
    <mergeCell ref="C27:D27"/>
    <mergeCell ref="C29:M29"/>
    <mergeCell ref="C13:D13"/>
    <mergeCell ref="A8:B9"/>
    <mergeCell ref="C8:D9"/>
    <mergeCell ref="E8:F9"/>
    <mergeCell ref="G8:G9"/>
    <mergeCell ref="C10:D10"/>
    <mergeCell ref="H8:H9"/>
    <mergeCell ref="I8:M9"/>
    <mergeCell ref="A6:B7"/>
    <mergeCell ref="C6:D7"/>
    <mergeCell ref="E6:F7"/>
    <mergeCell ref="G6:G7"/>
    <mergeCell ref="H6:H7"/>
    <mergeCell ref="I6:M7"/>
    <mergeCell ref="I4:M5"/>
    <mergeCell ref="A1:M1"/>
    <mergeCell ref="A2:B3"/>
    <mergeCell ref="C2:D3"/>
    <mergeCell ref="E2:F3"/>
    <mergeCell ref="G2:G3"/>
    <mergeCell ref="H2:H3"/>
    <mergeCell ref="I2:M3"/>
    <mergeCell ref="A4:B5"/>
    <mergeCell ref="C4:D5"/>
    <mergeCell ref="E4:F5"/>
    <mergeCell ref="G4:G5"/>
    <mergeCell ref="H4:H5"/>
  </mergeCells>
  <printOptions horizontalCentered="1"/>
  <pageMargins left="0.7086614173228347" right="0.7086614173228347" top="0.7874015748031497" bottom="0.7874015748031497" header="0.31496062992125984" footer="0.31496062992125984"/>
  <pageSetup fitToHeight="100" fitToWidth="1" horizontalDpi="600" verticalDpi="600" orientation="landscape" paperSize="9" scale="71" r:id="rId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B6A21-5BD8-46A6-B917-89C59DF994F8}">
  <dimension ref="A1:BL196"/>
  <sheetViews>
    <sheetView view="pageBreakPreview" zoomScale="115" zoomScaleSheetLayoutView="115" workbookViewId="0" topLeftCell="B160">
      <selection activeCell="C181" sqref="C181:M181"/>
    </sheetView>
  </sheetViews>
  <sheetFormatPr defaultColWidth="11.57421875" defaultRowHeight="15"/>
  <cols>
    <col min="1" max="1" width="3.7109375" style="1" customWidth="1"/>
    <col min="2" max="2" width="14.28125" style="1" customWidth="1"/>
    <col min="3" max="3" width="19.7109375" style="1" customWidth="1"/>
    <col min="4" max="4" width="31.00390625" style="1" customWidth="1"/>
    <col min="5" max="5" width="4.28125" style="1" customWidth="1"/>
    <col min="6" max="6" width="12.8515625" style="1" customWidth="1"/>
    <col min="7" max="7" width="12.00390625" style="1" customWidth="1"/>
    <col min="8" max="10" width="14.28125" style="1" customWidth="1"/>
    <col min="11" max="13" width="11.7109375" style="1" customWidth="1"/>
    <col min="14" max="24" width="11.57421875" style="1" customWidth="1"/>
    <col min="25" max="64" width="12.140625" style="1" hidden="1" customWidth="1"/>
    <col min="65" max="256" width="11.57421875" style="1" customWidth="1"/>
    <col min="257" max="257" width="3.7109375" style="1" customWidth="1"/>
    <col min="258" max="258" width="14.28125" style="1" customWidth="1"/>
    <col min="259" max="259" width="19.7109375" style="1" customWidth="1"/>
    <col min="260" max="260" width="31.00390625" style="1" customWidth="1"/>
    <col min="261" max="261" width="4.28125" style="1" customWidth="1"/>
    <col min="262" max="262" width="12.8515625" style="1" customWidth="1"/>
    <col min="263" max="263" width="12.00390625" style="1" customWidth="1"/>
    <col min="264" max="266" width="14.28125" style="1" customWidth="1"/>
    <col min="267" max="269" width="11.7109375" style="1" customWidth="1"/>
    <col min="270" max="280" width="11.57421875" style="1" customWidth="1"/>
    <col min="281" max="320" width="11.57421875" style="1" hidden="1" customWidth="1"/>
    <col min="321" max="512" width="11.57421875" style="1" customWidth="1"/>
    <col min="513" max="513" width="3.7109375" style="1" customWidth="1"/>
    <col min="514" max="514" width="14.28125" style="1" customWidth="1"/>
    <col min="515" max="515" width="19.7109375" style="1" customWidth="1"/>
    <col min="516" max="516" width="31.00390625" style="1" customWidth="1"/>
    <col min="517" max="517" width="4.28125" style="1" customWidth="1"/>
    <col min="518" max="518" width="12.8515625" style="1" customWidth="1"/>
    <col min="519" max="519" width="12.00390625" style="1" customWidth="1"/>
    <col min="520" max="522" width="14.28125" style="1" customWidth="1"/>
    <col min="523" max="525" width="11.7109375" style="1" customWidth="1"/>
    <col min="526" max="536" width="11.57421875" style="1" customWidth="1"/>
    <col min="537" max="576" width="11.57421875" style="1" hidden="1" customWidth="1"/>
    <col min="577" max="768" width="11.57421875" style="1" customWidth="1"/>
    <col min="769" max="769" width="3.7109375" style="1" customWidth="1"/>
    <col min="770" max="770" width="14.28125" style="1" customWidth="1"/>
    <col min="771" max="771" width="19.7109375" style="1" customWidth="1"/>
    <col min="772" max="772" width="31.00390625" style="1" customWidth="1"/>
    <col min="773" max="773" width="4.28125" style="1" customWidth="1"/>
    <col min="774" max="774" width="12.8515625" style="1" customWidth="1"/>
    <col min="775" max="775" width="12.00390625" style="1" customWidth="1"/>
    <col min="776" max="778" width="14.28125" style="1" customWidth="1"/>
    <col min="779" max="781" width="11.7109375" style="1" customWidth="1"/>
    <col min="782" max="792" width="11.57421875" style="1" customWidth="1"/>
    <col min="793" max="832" width="11.57421875" style="1" hidden="1" customWidth="1"/>
    <col min="833" max="1024" width="11.57421875" style="1" customWidth="1"/>
    <col min="1025" max="1025" width="3.7109375" style="1" customWidth="1"/>
    <col min="1026" max="1026" width="14.28125" style="1" customWidth="1"/>
    <col min="1027" max="1027" width="19.7109375" style="1" customWidth="1"/>
    <col min="1028" max="1028" width="31.00390625" style="1" customWidth="1"/>
    <col min="1029" max="1029" width="4.28125" style="1" customWidth="1"/>
    <col min="1030" max="1030" width="12.8515625" style="1" customWidth="1"/>
    <col min="1031" max="1031" width="12.00390625" style="1" customWidth="1"/>
    <col min="1032" max="1034" width="14.28125" style="1" customWidth="1"/>
    <col min="1035" max="1037" width="11.7109375" style="1" customWidth="1"/>
    <col min="1038" max="1048" width="11.57421875" style="1" customWidth="1"/>
    <col min="1049" max="1088" width="11.57421875" style="1" hidden="1" customWidth="1"/>
    <col min="1089" max="1280" width="11.57421875" style="1" customWidth="1"/>
    <col min="1281" max="1281" width="3.7109375" style="1" customWidth="1"/>
    <col min="1282" max="1282" width="14.28125" style="1" customWidth="1"/>
    <col min="1283" max="1283" width="19.7109375" style="1" customWidth="1"/>
    <col min="1284" max="1284" width="31.00390625" style="1" customWidth="1"/>
    <col min="1285" max="1285" width="4.28125" style="1" customWidth="1"/>
    <col min="1286" max="1286" width="12.8515625" style="1" customWidth="1"/>
    <col min="1287" max="1287" width="12.00390625" style="1" customWidth="1"/>
    <col min="1288" max="1290" width="14.28125" style="1" customWidth="1"/>
    <col min="1291" max="1293" width="11.7109375" style="1" customWidth="1"/>
    <col min="1294" max="1304" width="11.57421875" style="1" customWidth="1"/>
    <col min="1305" max="1344" width="11.57421875" style="1" hidden="1" customWidth="1"/>
    <col min="1345" max="1536" width="11.57421875" style="1" customWidth="1"/>
    <col min="1537" max="1537" width="3.7109375" style="1" customWidth="1"/>
    <col min="1538" max="1538" width="14.28125" style="1" customWidth="1"/>
    <col min="1539" max="1539" width="19.7109375" style="1" customWidth="1"/>
    <col min="1540" max="1540" width="31.00390625" style="1" customWidth="1"/>
    <col min="1541" max="1541" width="4.28125" style="1" customWidth="1"/>
    <col min="1542" max="1542" width="12.8515625" style="1" customWidth="1"/>
    <col min="1543" max="1543" width="12.00390625" style="1" customWidth="1"/>
    <col min="1544" max="1546" width="14.28125" style="1" customWidth="1"/>
    <col min="1547" max="1549" width="11.7109375" style="1" customWidth="1"/>
    <col min="1550" max="1560" width="11.57421875" style="1" customWidth="1"/>
    <col min="1561" max="1600" width="11.57421875" style="1" hidden="1" customWidth="1"/>
    <col min="1601" max="1792" width="11.57421875" style="1" customWidth="1"/>
    <col min="1793" max="1793" width="3.7109375" style="1" customWidth="1"/>
    <col min="1794" max="1794" width="14.28125" style="1" customWidth="1"/>
    <col min="1795" max="1795" width="19.7109375" style="1" customWidth="1"/>
    <col min="1796" max="1796" width="31.00390625" style="1" customWidth="1"/>
    <col min="1797" max="1797" width="4.28125" style="1" customWidth="1"/>
    <col min="1798" max="1798" width="12.8515625" style="1" customWidth="1"/>
    <col min="1799" max="1799" width="12.00390625" style="1" customWidth="1"/>
    <col min="1800" max="1802" width="14.28125" style="1" customWidth="1"/>
    <col min="1803" max="1805" width="11.7109375" style="1" customWidth="1"/>
    <col min="1806" max="1816" width="11.57421875" style="1" customWidth="1"/>
    <col min="1817" max="1856" width="11.57421875" style="1" hidden="1" customWidth="1"/>
    <col min="1857" max="2048" width="11.57421875" style="1" customWidth="1"/>
    <col min="2049" max="2049" width="3.7109375" style="1" customWidth="1"/>
    <col min="2050" max="2050" width="14.28125" style="1" customWidth="1"/>
    <col min="2051" max="2051" width="19.7109375" style="1" customWidth="1"/>
    <col min="2052" max="2052" width="31.00390625" style="1" customWidth="1"/>
    <col min="2053" max="2053" width="4.28125" style="1" customWidth="1"/>
    <col min="2054" max="2054" width="12.8515625" style="1" customWidth="1"/>
    <col min="2055" max="2055" width="12.00390625" style="1" customWidth="1"/>
    <col min="2056" max="2058" width="14.28125" style="1" customWidth="1"/>
    <col min="2059" max="2061" width="11.7109375" style="1" customWidth="1"/>
    <col min="2062" max="2072" width="11.57421875" style="1" customWidth="1"/>
    <col min="2073" max="2112" width="11.57421875" style="1" hidden="1" customWidth="1"/>
    <col min="2113" max="2304" width="11.57421875" style="1" customWidth="1"/>
    <col min="2305" max="2305" width="3.7109375" style="1" customWidth="1"/>
    <col min="2306" max="2306" width="14.28125" style="1" customWidth="1"/>
    <col min="2307" max="2307" width="19.7109375" style="1" customWidth="1"/>
    <col min="2308" max="2308" width="31.00390625" style="1" customWidth="1"/>
    <col min="2309" max="2309" width="4.28125" style="1" customWidth="1"/>
    <col min="2310" max="2310" width="12.8515625" style="1" customWidth="1"/>
    <col min="2311" max="2311" width="12.00390625" style="1" customWidth="1"/>
    <col min="2312" max="2314" width="14.28125" style="1" customWidth="1"/>
    <col min="2315" max="2317" width="11.7109375" style="1" customWidth="1"/>
    <col min="2318" max="2328" width="11.57421875" style="1" customWidth="1"/>
    <col min="2329" max="2368" width="11.57421875" style="1" hidden="1" customWidth="1"/>
    <col min="2369" max="2560" width="11.57421875" style="1" customWidth="1"/>
    <col min="2561" max="2561" width="3.7109375" style="1" customWidth="1"/>
    <col min="2562" max="2562" width="14.28125" style="1" customWidth="1"/>
    <col min="2563" max="2563" width="19.7109375" style="1" customWidth="1"/>
    <col min="2564" max="2564" width="31.00390625" style="1" customWidth="1"/>
    <col min="2565" max="2565" width="4.28125" style="1" customWidth="1"/>
    <col min="2566" max="2566" width="12.8515625" style="1" customWidth="1"/>
    <col min="2567" max="2567" width="12.00390625" style="1" customWidth="1"/>
    <col min="2568" max="2570" width="14.28125" style="1" customWidth="1"/>
    <col min="2571" max="2573" width="11.7109375" style="1" customWidth="1"/>
    <col min="2574" max="2584" width="11.57421875" style="1" customWidth="1"/>
    <col min="2585" max="2624" width="11.57421875" style="1" hidden="1" customWidth="1"/>
    <col min="2625" max="2816" width="11.57421875" style="1" customWidth="1"/>
    <col min="2817" max="2817" width="3.7109375" style="1" customWidth="1"/>
    <col min="2818" max="2818" width="14.28125" style="1" customWidth="1"/>
    <col min="2819" max="2819" width="19.7109375" style="1" customWidth="1"/>
    <col min="2820" max="2820" width="31.00390625" style="1" customWidth="1"/>
    <col min="2821" max="2821" width="4.28125" style="1" customWidth="1"/>
    <col min="2822" max="2822" width="12.8515625" style="1" customWidth="1"/>
    <col min="2823" max="2823" width="12.00390625" style="1" customWidth="1"/>
    <col min="2824" max="2826" width="14.28125" style="1" customWidth="1"/>
    <col min="2827" max="2829" width="11.7109375" style="1" customWidth="1"/>
    <col min="2830" max="2840" width="11.57421875" style="1" customWidth="1"/>
    <col min="2841" max="2880" width="11.57421875" style="1" hidden="1" customWidth="1"/>
    <col min="2881" max="3072" width="11.57421875" style="1" customWidth="1"/>
    <col min="3073" max="3073" width="3.7109375" style="1" customWidth="1"/>
    <col min="3074" max="3074" width="14.28125" style="1" customWidth="1"/>
    <col min="3075" max="3075" width="19.7109375" style="1" customWidth="1"/>
    <col min="3076" max="3076" width="31.00390625" style="1" customWidth="1"/>
    <col min="3077" max="3077" width="4.28125" style="1" customWidth="1"/>
    <col min="3078" max="3078" width="12.8515625" style="1" customWidth="1"/>
    <col min="3079" max="3079" width="12.00390625" style="1" customWidth="1"/>
    <col min="3080" max="3082" width="14.28125" style="1" customWidth="1"/>
    <col min="3083" max="3085" width="11.7109375" style="1" customWidth="1"/>
    <col min="3086" max="3096" width="11.57421875" style="1" customWidth="1"/>
    <col min="3097" max="3136" width="11.57421875" style="1" hidden="1" customWidth="1"/>
    <col min="3137" max="3328" width="11.57421875" style="1" customWidth="1"/>
    <col min="3329" max="3329" width="3.7109375" style="1" customWidth="1"/>
    <col min="3330" max="3330" width="14.28125" style="1" customWidth="1"/>
    <col min="3331" max="3331" width="19.7109375" style="1" customWidth="1"/>
    <col min="3332" max="3332" width="31.00390625" style="1" customWidth="1"/>
    <col min="3333" max="3333" width="4.28125" style="1" customWidth="1"/>
    <col min="3334" max="3334" width="12.8515625" style="1" customWidth="1"/>
    <col min="3335" max="3335" width="12.00390625" style="1" customWidth="1"/>
    <col min="3336" max="3338" width="14.28125" style="1" customWidth="1"/>
    <col min="3339" max="3341" width="11.7109375" style="1" customWidth="1"/>
    <col min="3342" max="3352" width="11.57421875" style="1" customWidth="1"/>
    <col min="3353" max="3392" width="11.57421875" style="1" hidden="1" customWidth="1"/>
    <col min="3393" max="3584" width="11.57421875" style="1" customWidth="1"/>
    <col min="3585" max="3585" width="3.7109375" style="1" customWidth="1"/>
    <col min="3586" max="3586" width="14.28125" style="1" customWidth="1"/>
    <col min="3587" max="3587" width="19.7109375" style="1" customWidth="1"/>
    <col min="3588" max="3588" width="31.00390625" style="1" customWidth="1"/>
    <col min="3589" max="3589" width="4.28125" style="1" customWidth="1"/>
    <col min="3590" max="3590" width="12.8515625" style="1" customWidth="1"/>
    <col min="3591" max="3591" width="12.00390625" style="1" customWidth="1"/>
    <col min="3592" max="3594" width="14.28125" style="1" customWidth="1"/>
    <col min="3595" max="3597" width="11.7109375" style="1" customWidth="1"/>
    <col min="3598" max="3608" width="11.57421875" style="1" customWidth="1"/>
    <col min="3609" max="3648" width="11.57421875" style="1" hidden="1" customWidth="1"/>
    <col min="3649" max="3840" width="11.57421875" style="1" customWidth="1"/>
    <col min="3841" max="3841" width="3.7109375" style="1" customWidth="1"/>
    <col min="3842" max="3842" width="14.28125" style="1" customWidth="1"/>
    <col min="3843" max="3843" width="19.7109375" style="1" customWidth="1"/>
    <col min="3844" max="3844" width="31.00390625" style="1" customWidth="1"/>
    <col min="3845" max="3845" width="4.28125" style="1" customWidth="1"/>
    <col min="3846" max="3846" width="12.8515625" style="1" customWidth="1"/>
    <col min="3847" max="3847" width="12.00390625" style="1" customWidth="1"/>
    <col min="3848" max="3850" width="14.28125" style="1" customWidth="1"/>
    <col min="3851" max="3853" width="11.7109375" style="1" customWidth="1"/>
    <col min="3854" max="3864" width="11.57421875" style="1" customWidth="1"/>
    <col min="3865" max="3904" width="11.57421875" style="1" hidden="1" customWidth="1"/>
    <col min="3905" max="4096" width="11.57421875" style="1" customWidth="1"/>
    <col min="4097" max="4097" width="3.7109375" style="1" customWidth="1"/>
    <col min="4098" max="4098" width="14.28125" style="1" customWidth="1"/>
    <col min="4099" max="4099" width="19.7109375" style="1" customWidth="1"/>
    <col min="4100" max="4100" width="31.00390625" style="1" customWidth="1"/>
    <col min="4101" max="4101" width="4.28125" style="1" customWidth="1"/>
    <col min="4102" max="4102" width="12.8515625" style="1" customWidth="1"/>
    <col min="4103" max="4103" width="12.00390625" style="1" customWidth="1"/>
    <col min="4104" max="4106" width="14.28125" style="1" customWidth="1"/>
    <col min="4107" max="4109" width="11.7109375" style="1" customWidth="1"/>
    <col min="4110" max="4120" width="11.57421875" style="1" customWidth="1"/>
    <col min="4121" max="4160" width="11.57421875" style="1" hidden="1" customWidth="1"/>
    <col min="4161" max="4352" width="11.57421875" style="1" customWidth="1"/>
    <col min="4353" max="4353" width="3.7109375" style="1" customWidth="1"/>
    <col min="4354" max="4354" width="14.28125" style="1" customWidth="1"/>
    <col min="4355" max="4355" width="19.7109375" style="1" customWidth="1"/>
    <col min="4356" max="4356" width="31.00390625" style="1" customWidth="1"/>
    <col min="4357" max="4357" width="4.28125" style="1" customWidth="1"/>
    <col min="4358" max="4358" width="12.8515625" style="1" customWidth="1"/>
    <col min="4359" max="4359" width="12.00390625" style="1" customWidth="1"/>
    <col min="4360" max="4362" width="14.28125" style="1" customWidth="1"/>
    <col min="4363" max="4365" width="11.7109375" style="1" customWidth="1"/>
    <col min="4366" max="4376" width="11.57421875" style="1" customWidth="1"/>
    <col min="4377" max="4416" width="11.57421875" style="1" hidden="1" customWidth="1"/>
    <col min="4417" max="4608" width="11.57421875" style="1" customWidth="1"/>
    <col min="4609" max="4609" width="3.7109375" style="1" customWidth="1"/>
    <col min="4610" max="4610" width="14.28125" style="1" customWidth="1"/>
    <col min="4611" max="4611" width="19.7109375" style="1" customWidth="1"/>
    <col min="4612" max="4612" width="31.00390625" style="1" customWidth="1"/>
    <col min="4613" max="4613" width="4.28125" style="1" customWidth="1"/>
    <col min="4614" max="4614" width="12.8515625" style="1" customWidth="1"/>
    <col min="4615" max="4615" width="12.00390625" style="1" customWidth="1"/>
    <col min="4616" max="4618" width="14.28125" style="1" customWidth="1"/>
    <col min="4619" max="4621" width="11.7109375" style="1" customWidth="1"/>
    <col min="4622" max="4632" width="11.57421875" style="1" customWidth="1"/>
    <col min="4633" max="4672" width="11.57421875" style="1" hidden="1" customWidth="1"/>
    <col min="4673" max="4864" width="11.57421875" style="1" customWidth="1"/>
    <col min="4865" max="4865" width="3.7109375" style="1" customWidth="1"/>
    <col min="4866" max="4866" width="14.28125" style="1" customWidth="1"/>
    <col min="4867" max="4867" width="19.7109375" style="1" customWidth="1"/>
    <col min="4868" max="4868" width="31.00390625" style="1" customWidth="1"/>
    <col min="4869" max="4869" width="4.28125" style="1" customWidth="1"/>
    <col min="4870" max="4870" width="12.8515625" style="1" customWidth="1"/>
    <col min="4871" max="4871" width="12.00390625" style="1" customWidth="1"/>
    <col min="4872" max="4874" width="14.28125" style="1" customWidth="1"/>
    <col min="4875" max="4877" width="11.7109375" style="1" customWidth="1"/>
    <col min="4878" max="4888" width="11.57421875" style="1" customWidth="1"/>
    <col min="4889" max="4928" width="11.57421875" style="1" hidden="1" customWidth="1"/>
    <col min="4929" max="5120" width="11.57421875" style="1" customWidth="1"/>
    <col min="5121" max="5121" width="3.7109375" style="1" customWidth="1"/>
    <col min="5122" max="5122" width="14.28125" style="1" customWidth="1"/>
    <col min="5123" max="5123" width="19.7109375" style="1" customWidth="1"/>
    <col min="5124" max="5124" width="31.00390625" style="1" customWidth="1"/>
    <col min="5125" max="5125" width="4.28125" style="1" customWidth="1"/>
    <col min="5126" max="5126" width="12.8515625" style="1" customWidth="1"/>
    <col min="5127" max="5127" width="12.00390625" style="1" customWidth="1"/>
    <col min="5128" max="5130" width="14.28125" style="1" customWidth="1"/>
    <col min="5131" max="5133" width="11.7109375" style="1" customWidth="1"/>
    <col min="5134" max="5144" width="11.57421875" style="1" customWidth="1"/>
    <col min="5145" max="5184" width="11.57421875" style="1" hidden="1" customWidth="1"/>
    <col min="5185" max="5376" width="11.57421875" style="1" customWidth="1"/>
    <col min="5377" max="5377" width="3.7109375" style="1" customWidth="1"/>
    <col min="5378" max="5378" width="14.28125" style="1" customWidth="1"/>
    <col min="5379" max="5379" width="19.7109375" style="1" customWidth="1"/>
    <col min="5380" max="5380" width="31.00390625" style="1" customWidth="1"/>
    <col min="5381" max="5381" width="4.28125" style="1" customWidth="1"/>
    <col min="5382" max="5382" width="12.8515625" style="1" customWidth="1"/>
    <col min="5383" max="5383" width="12.00390625" style="1" customWidth="1"/>
    <col min="5384" max="5386" width="14.28125" style="1" customWidth="1"/>
    <col min="5387" max="5389" width="11.7109375" style="1" customWidth="1"/>
    <col min="5390" max="5400" width="11.57421875" style="1" customWidth="1"/>
    <col min="5401" max="5440" width="11.57421875" style="1" hidden="1" customWidth="1"/>
    <col min="5441" max="5632" width="11.57421875" style="1" customWidth="1"/>
    <col min="5633" max="5633" width="3.7109375" style="1" customWidth="1"/>
    <col min="5634" max="5634" width="14.28125" style="1" customWidth="1"/>
    <col min="5635" max="5635" width="19.7109375" style="1" customWidth="1"/>
    <col min="5636" max="5636" width="31.00390625" style="1" customWidth="1"/>
    <col min="5637" max="5637" width="4.28125" style="1" customWidth="1"/>
    <col min="5638" max="5638" width="12.8515625" style="1" customWidth="1"/>
    <col min="5639" max="5639" width="12.00390625" style="1" customWidth="1"/>
    <col min="5640" max="5642" width="14.28125" style="1" customWidth="1"/>
    <col min="5643" max="5645" width="11.7109375" style="1" customWidth="1"/>
    <col min="5646" max="5656" width="11.57421875" style="1" customWidth="1"/>
    <col min="5657" max="5696" width="11.57421875" style="1" hidden="1" customWidth="1"/>
    <col min="5697" max="5888" width="11.57421875" style="1" customWidth="1"/>
    <col min="5889" max="5889" width="3.7109375" style="1" customWidth="1"/>
    <col min="5890" max="5890" width="14.28125" style="1" customWidth="1"/>
    <col min="5891" max="5891" width="19.7109375" style="1" customWidth="1"/>
    <col min="5892" max="5892" width="31.00390625" style="1" customWidth="1"/>
    <col min="5893" max="5893" width="4.28125" style="1" customWidth="1"/>
    <col min="5894" max="5894" width="12.8515625" style="1" customWidth="1"/>
    <col min="5895" max="5895" width="12.00390625" style="1" customWidth="1"/>
    <col min="5896" max="5898" width="14.28125" style="1" customWidth="1"/>
    <col min="5899" max="5901" width="11.7109375" style="1" customWidth="1"/>
    <col min="5902" max="5912" width="11.57421875" style="1" customWidth="1"/>
    <col min="5913" max="5952" width="11.57421875" style="1" hidden="1" customWidth="1"/>
    <col min="5953" max="6144" width="11.57421875" style="1" customWidth="1"/>
    <col min="6145" max="6145" width="3.7109375" style="1" customWidth="1"/>
    <col min="6146" max="6146" width="14.28125" style="1" customWidth="1"/>
    <col min="6147" max="6147" width="19.7109375" style="1" customWidth="1"/>
    <col min="6148" max="6148" width="31.00390625" style="1" customWidth="1"/>
    <col min="6149" max="6149" width="4.28125" style="1" customWidth="1"/>
    <col min="6150" max="6150" width="12.8515625" style="1" customWidth="1"/>
    <col min="6151" max="6151" width="12.00390625" style="1" customWidth="1"/>
    <col min="6152" max="6154" width="14.28125" style="1" customWidth="1"/>
    <col min="6155" max="6157" width="11.7109375" style="1" customWidth="1"/>
    <col min="6158" max="6168" width="11.57421875" style="1" customWidth="1"/>
    <col min="6169" max="6208" width="11.57421875" style="1" hidden="1" customWidth="1"/>
    <col min="6209" max="6400" width="11.57421875" style="1" customWidth="1"/>
    <col min="6401" max="6401" width="3.7109375" style="1" customWidth="1"/>
    <col min="6402" max="6402" width="14.28125" style="1" customWidth="1"/>
    <col min="6403" max="6403" width="19.7109375" style="1" customWidth="1"/>
    <col min="6404" max="6404" width="31.00390625" style="1" customWidth="1"/>
    <col min="6405" max="6405" width="4.28125" style="1" customWidth="1"/>
    <col min="6406" max="6406" width="12.8515625" style="1" customWidth="1"/>
    <col min="6407" max="6407" width="12.00390625" style="1" customWidth="1"/>
    <col min="6408" max="6410" width="14.28125" style="1" customWidth="1"/>
    <col min="6411" max="6413" width="11.7109375" style="1" customWidth="1"/>
    <col min="6414" max="6424" width="11.57421875" style="1" customWidth="1"/>
    <col min="6425" max="6464" width="11.57421875" style="1" hidden="1" customWidth="1"/>
    <col min="6465" max="6656" width="11.57421875" style="1" customWidth="1"/>
    <col min="6657" max="6657" width="3.7109375" style="1" customWidth="1"/>
    <col min="6658" max="6658" width="14.28125" style="1" customWidth="1"/>
    <col min="6659" max="6659" width="19.7109375" style="1" customWidth="1"/>
    <col min="6660" max="6660" width="31.00390625" style="1" customWidth="1"/>
    <col min="6661" max="6661" width="4.28125" style="1" customWidth="1"/>
    <col min="6662" max="6662" width="12.8515625" style="1" customWidth="1"/>
    <col min="6663" max="6663" width="12.00390625" style="1" customWidth="1"/>
    <col min="6664" max="6666" width="14.28125" style="1" customWidth="1"/>
    <col min="6667" max="6669" width="11.7109375" style="1" customWidth="1"/>
    <col min="6670" max="6680" width="11.57421875" style="1" customWidth="1"/>
    <col min="6681" max="6720" width="11.57421875" style="1" hidden="1" customWidth="1"/>
    <col min="6721" max="6912" width="11.57421875" style="1" customWidth="1"/>
    <col min="6913" max="6913" width="3.7109375" style="1" customWidth="1"/>
    <col min="6914" max="6914" width="14.28125" style="1" customWidth="1"/>
    <col min="6915" max="6915" width="19.7109375" style="1" customWidth="1"/>
    <col min="6916" max="6916" width="31.00390625" style="1" customWidth="1"/>
    <col min="6917" max="6917" width="4.28125" style="1" customWidth="1"/>
    <col min="6918" max="6918" width="12.8515625" style="1" customWidth="1"/>
    <col min="6919" max="6919" width="12.00390625" style="1" customWidth="1"/>
    <col min="6920" max="6922" width="14.28125" style="1" customWidth="1"/>
    <col min="6923" max="6925" width="11.7109375" style="1" customWidth="1"/>
    <col min="6926" max="6936" width="11.57421875" style="1" customWidth="1"/>
    <col min="6937" max="6976" width="11.57421875" style="1" hidden="1" customWidth="1"/>
    <col min="6977" max="7168" width="11.57421875" style="1" customWidth="1"/>
    <col min="7169" max="7169" width="3.7109375" style="1" customWidth="1"/>
    <col min="7170" max="7170" width="14.28125" style="1" customWidth="1"/>
    <col min="7171" max="7171" width="19.7109375" style="1" customWidth="1"/>
    <col min="7172" max="7172" width="31.00390625" style="1" customWidth="1"/>
    <col min="7173" max="7173" width="4.28125" style="1" customWidth="1"/>
    <col min="7174" max="7174" width="12.8515625" style="1" customWidth="1"/>
    <col min="7175" max="7175" width="12.00390625" style="1" customWidth="1"/>
    <col min="7176" max="7178" width="14.28125" style="1" customWidth="1"/>
    <col min="7179" max="7181" width="11.7109375" style="1" customWidth="1"/>
    <col min="7182" max="7192" width="11.57421875" style="1" customWidth="1"/>
    <col min="7193" max="7232" width="11.57421875" style="1" hidden="1" customWidth="1"/>
    <col min="7233" max="7424" width="11.57421875" style="1" customWidth="1"/>
    <col min="7425" max="7425" width="3.7109375" style="1" customWidth="1"/>
    <col min="7426" max="7426" width="14.28125" style="1" customWidth="1"/>
    <col min="7427" max="7427" width="19.7109375" style="1" customWidth="1"/>
    <col min="7428" max="7428" width="31.00390625" style="1" customWidth="1"/>
    <col min="7429" max="7429" width="4.28125" style="1" customWidth="1"/>
    <col min="7430" max="7430" width="12.8515625" style="1" customWidth="1"/>
    <col min="7431" max="7431" width="12.00390625" style="1" customWidth="1"/>
    <col min="7432" max="7434" width="14.28125" style="1" customWidth="1"/>
    <col min="7435" max="7437" width="11.7109375" style="1" customWidth="1"/>
    <col min="7438" max="7448" width="11.57421875" style="1" customWidth="1"/>
    <col min="7449" max="7488" width="11.57421875" style="1" hidden="1" customWidth="1"/>
    <col min="7489" max="7680" width="11.57421875" style="1" customWidth="1"/>
    <col min="7681" max="7681" width="3.7109375" style="1" customWidth="1"/>
    <col min="7682" max="7682" width="14.28125" style="1" customWidth="1"/>
    <col min="7683" max="7683" width="19.7109375" style="1" customWidth="1"/>
    <col min="7684" max="7684" width="31.00390625" style="1" customWidth="1"/>
    <col min="7685" max="7685" width="4.28125" style="1" customWidth="1"/>
    <col min="7686" max="7686" width="12.8515625" style="1" customWidth="1"/>
    <col min="7687" max="7687" width="12.00390625" style="1" customWidth="1"/>
    <col min="7688" max="7690" width="14.28125" style="1" customWidth="1"/>
    <col min="7691" max="7693" width="11.7109375" style="1" customWidth="1"/>
    <col min="7694" max="7704" width="11.57421875" style="1" customWidth="1"/>
    <col min="7705" max="7744" width="11.57421875" style="1" hidden="1" customWidth="1"/>
    <col min="7745" max="7936" width="11.57421875" style="1" customWidth="1"/>
    <col min="7937" max="7937" width="3.7109375" style="1" customWidth="1"/>
    <col min="7938" max="7938" width="14.28125" style="1" customWidth="1"/>
    <col min="7939" max="7939" width="19.7109375" style="1" customWidth="1"/>
    <col min="7940" max="7940" width="31.00390625" style="1" customWidth="1"/>
    <col min="7941" max="7941" width="4.28125" style="1" customWidth="1"/>
    <col min="7942" max="7942" width="12.8515625" style="1" customWidth="1"/>
    <col min="7943" max="7943" width="12.00390625" style="1" customWidth="1"/>
    <col min="7944" max="7946" width="14.28125" style="1" customWidth="1"/>
    <col min="7947" max="7949" width="11.7109375" style="1" customWidth="1"/>
    <col min="7950" max="7960" width="11.57421875" style="1" customWidth="1"/>
    <col min="7961" max="8000" width="11.57421875" style="1" hidden="1" customWidth="1"/>
    <col min="8001" max="8192" width="11.57421875" style="1" customWidth="1"/>
    <col min="8193" max="8193" width="3.7109375" style="1" customWidth="1"/>
    <col min="8194" max="8194" width="14.28125" style="1" customWidth="1"/>
    <col min="8195" max="8195" width="19.7109375" style="1" customWidth="1"/>
    <col min="8196" max="8196" width="31.00390625" style="1" customWidth="1"/>
    <col min="8197" max="8197" width="4.28125" style="1" customWidth="1"/>
    <col min="8198" max="8198" width="12.8515625" style="1" customWidth="1"/>
    <col min="8199" max="8199" width="12.00390625" style="1" customWidth="1"/>
    <col min="8200" max="8202" width="14.28125" style="1" customWidth="1"/>
    <col min="8203" max="8205" width="11.7109375" style="1" customWidth="1"/>
    <col min="8206" max="8216" width="11.57421875" style="1" customWidth="1"/>
    <col min="8217" max="8256" width="11.57421875" style="1" hidden="1" customWidth="1"/>
    <col min="8257" max="8448" width="11.57421875" style="1" customWidth="1"/>
    <col min="8449" max="8449" width="3.7109375" style="1" customWidth="1"/>
    <col min="8450" max="8450" width="14.28125" style="1" customWidth="1"/>
    <col min="8451" max="8451" width="19.7109375" style="1" customWidth="1"/>
    <col min="8452" max="8452" width="31.00390625" style="1" customWidth="1"/>
    <col min="8453" max="8453" width="4.28125" style="1" customWidth="1"/>
    <col min="8454" max="8454" width="12.8515625" style="1" customWidth="1"/>
    <col min="8455" max="8455" width="12.00390625" style="1" customWidth="1"/>
    <col min="8456" max="8458" width="14.28125" style="1" customWidth="1"/>
    <col min="8459" max="8461" width="11.7109375" style="1" customWidth="1"/>
    <col min="8462" max="8472" width="11.57421875" style="1" customWidth="1"/>
    <col min="8473" max="8512" width="11.57421875" style="1" hidden="1" customWidth="1"/>
    <col min="8513" max="8704" width="11.57421875" style="1" customWidth="1"/>
    <col min="8705" max="8705" width="3.7109375" style="1" customWidth="1"/>
    <col min="8706" max="8706" width="14.28125" style="1" customWidth="1"/>
    <col min="8707" max="8707" width="19.7109375" style="1" customWidth="1"/>
    <col min="8708" max="8708" width="31.00390625" style="1" customWidth="1"/>
    <col min="8709" max="8709" width="4.28125" style="1" customWidth="1"/>
    <col min="8710" max="8710" width="12.8515625" style="1" customWidth="1"/>
    <col min="8711" max="8711" width="12.00390625" style="1" customWidth="1"/>
    <col min="8712" max="8714" width="14.28125" style="1" customWidth="1"/>
    <col min="8715" max="8717" width="11.7109375" style="1" customWidth="1"/>
    <col min="8718" max="8728" width="11.57421875" style="1" customWidth="1"/>
    <col min="8729" max="8768" width="11.57421875" style="1" hidden="1" customWidth="1"/>
    <col min="8769" max="8960" width="11.57421875" style="1" customWidth="1"/>
    <col min="8961" max="8961" width="3.7109375" style="1" customWidth="1"/>
    <col min="8962" max="8962" width="14.28125" style="1" customWidth="1"/>
    <col min="8963" max="8963" width="19.7109375" style="1" customWidth="1"/>
    <col min="8964" max="8964" width="31.00390625" style="1" customWidth="1"/>
    <col min="8965" max="8965" width="4.28125" style="1" customWidth="1"/>
    <col min="8966" max="8966" width="12.8515625" style="1" customWidth="1"/>
    <col min="8967" max="8967" width="12.00390625" style="1" customWidth="1"/>
    <col min="8968" max="8970" width="14.28125" style="1" customWidth="1"/>
    <col min="8971" max="8973" width="11.7109375" style="1" customWidth="1"/>
    <col min="8974" max="8984" width="11.57421875" style="1" customWidth="1"/>
    <col min="8985" max="9024" width="11.57421875" style="1" hidden="1" customWidth="1"/>
    <col min="9025" max="9216" width="11.57421875" style="1" customWidth="1"/>
    <col min="9217" max="9217" width="3.7109375" style="1" customWidth="1"/>
    <col min="9218" max="9218" width="14.28125" style="1" customWidth="1"/>
    <col min="9219" max="9219" width="19.7109375" style="1" customWidth="1"/>
    <col min="9220" max="9220" width="31.00390625" style="1" customWidth="1"/>
    <col min="9221" max="9221" width="4.28125" style="1" customWidth="1"/>
    <col min="9222" max="9222" width="12.8515625" style="1" customWidth="1"/>
    <col min="9223" max="9223" width="12.00390625" style="1" customWidth="1"/>
    <col min="9224" max="9226" width="14.28125" style="1" customWidth="1"/>
    <col min="9227" max="9229" width="11.7109375" style="1" customWidth="1"/>
    <col min="9230" max="9240" width="11.57421875" style="1" customWidth="1"/>
    <col min="9241" max="9280" width="11.57421875" style="1" hidden="1" customWidth="1"/>
    <col min="9281" max="9472" width="11.57421875" style="1" customWidth="1"/>
    <col min="9473" max="9473" width="3.7109375" style="1" customWidth="1"/>
    <col min="9474" max="9474" width="14.28125" style="1" customWidth="1"/>
    <col min="9475" max="9475" width="19.7109375" style="1" customWidth="1"/>
    <col min="9476" max="9476" width="31.00390625" style="1" customWidth="1"/>
    <col min="9477" max="9477" width="4.28125" style="1" customWidth="1"/>
    <col min="9478" max="9478" width="12.8515625" style="1" customWidth="1"/>
    <col min="9479" max="9479" width="12.00390625" style="1" customWidth="1"/>
    <col min="9480" max="9482" width="14.28125" style="1" customWidth="1"/>
    <col min="9483" max="9485" width="11.7109375" style="1" customWidth="1"/>
    <col min="9486" max="9496" width="11.57421875" style="1" customWidth="1"/>
    <col min="9497" max="9536" width="11.57421875" style="1" hidden="1" customWidth="1"/>
    <col min="9537" max="9728" width="11.57421875" style="1" customWidth="1"/>
    <col min="9729" max="9729" width="3.7109375" style="1" customWidth="1"/>
    <col min="9730" max="9730" width="14.28125" style="1" customWidth="1"/>
    <col min="9731" max="9731" width="19.7109375" style="1" customWidth="1"/>
    <col min="9732" max="9732" width="31.00390625" style="1" customWidth="1"/>
    <col min="9733" max="9733" width="4.28125" style="1" customWidth="1"/>
    <col min="9734" max="9734" width="12.8515625" style="1" customWidth="1"/>
    <col min="9735" max="9735" width="12.00390625" style="1" customWidth="1"/>
    <col min="9736" max="9738" width="14.28125" style="1" customWidth="1"/>
    <col min="9739" max="9741" width="11.7109375" style="1" customWidth="1"/>
    <col min="9742" max="9752" width="11.57421875" style="1" customWidth="1"/>
    <col min="9753" max="9792" width="11.57421875" style="1" hidden="1" customWidth="1"/>
    <col min="9793" max="9984" width="11.57421875" style="1" customWidth="1"/>
    <col min="9985" max="9985" width="3.7109375" style="1" customWidth="1"/>
    <col min="9986" max="9986" width="14.28125" style="1" customWidth="1"/>
    <col min="9987" max="9987" width="19.7109375" style="1" customWidth="1"/>
    <col min="9988" max="9988" width="31.00390625" style="1" customWidth="1"/>
    <col min="9989" max="9989" width="4.28125" style="1" customWidth="1"/>
    <col min="9990" max="9990" width="12.8515625" style="1" customWidth="1"/>
    <col min="9991" max="9991" width="12.00390625" style="1" customWidth="1"/>
    <col min="9992" max="9994" width="14.28125" style="1" customWidth="1"/>
    <col min="9995" max="9997" width="11.7109375" style="1" customWidth="1"/>
    <col min="9998" max="10008" width="11.57421875" style="1" customWidth="1"/>
    <col min="10009" max="10048" width="11.57421875" style="1" hidden="1" customWidth="1"/>
    <col min="10049" max="10240" width="11.57421875" style="1" customWidth="1"/>
    <col min="10241" max="10241" width="3.7109375" style="1" customWidth="1"/>
    <col min="10242" max="10242" width="14.28125" style="1" customWidth="1"/>
    <col min="10243" max="10243" width="19.7109375" style="1" customWidth="1"/>
    <col min="10244" max="10244" width="31.00390625" style="1" customWidth="1"/>
    <col min="10245" max="10245" width="4.28125" style="1" customWidth="1"/>
    <col min="10246" max="10246" width="12.8515625" style="1" customWidth="1"/>
    <col min="10247" max="10247" width="12.00390625" style="1" customWidth="1"/>
    <col min="10248" max="10250" width="14.28125" style="1" customWidth="1"/>
    <col min="10251" max="10253" width="11.7109375" style="1" customWidth="1"/>
    <col min="10254" max="10264" width="11.57421875" style="1" customWidth="1"/>
    <col min="10265" max="10304" width="11.57421875" style="1" hidden="1" customWidth="1"/>
    <col min="10305" max="10496" width="11.57421875" style="1" customWidth="1"/>
    <col min="10497" max="10497" width="3.7109375" style="1" customWidth="1"/>
    <col min="10498" max="10498" width="14.28125" style="1" customWidth="1"/>
    <col min="10499" max="10499" width="19.7109375" style="1" customWidth="1"/>
    <col min="10500" max="10500" width="31.00390625" style="1" customWidth="1"/>
    <col min="10501" max="10501" width="4.28125" style="1" customWidth="1"/>
    <col min="10502" max="10502" width="12.8515625" style="1" customWidth="1"/>
    <col min="10503" max="10503" width="12.00390625" style="1" customWidth="1"/>
    <col min="10504" max="10506" width="14.28125" style="1" customWidth="1"/>
    <col min="10507" max="10509" width="11.7109375" style="1" customWidth="1"/>
    <col min="10510" max="10520" width="11.57421875" style="1" customWidth="1"/>
    <col min="10521" max="10560" width="11.57421875" style="1" hidden="1" customWidth="1"/>
    <col min="10561" max="10752" width="11.57421875" style="1" customWidth="1"/>
    <col min="10753" max="10753" width="3.7109375" style="1" customWidth="1"/>
    <col min="10754" max="10754" width="14.28125" style="1" customWidth="1"/>
    <col min="10755" max="10755" width="19.7109375" style="1" customWidth="1"/>
    <col min="10756" max="10756" width="31.00390625" style="1" customWidth="1"/>
    <col min="10757" max="10757" width="4.28125" style="1" customWidth="1"/>
    <col min="10758" max="10758" width="12.8515625" style="1" customWidth="1"/>
    <col min="10759" max="10759" width="12.00390625" style="1" customWidth="1"/>
    <col min="10760" max="10762" width="14.28125" style="1" customWidth="1"/>
    <col min="10763" max="10765" width="11.7109375" style="1" customWidth="1"/>
    <col min="10766" max="10776" width="11.57421875" style="1" customWidth="1"/>
    <col min="10777" max="10816" width="11.57421875" style="1" hidden="1" customWidth="1"/>
    <col min="10817" max="11008" width="11.57421875" style="1" customWidth="1"/>
    <col min="11009" max="11009" width="3.7109375" style="1" customWidth="1"/>
    <col min="11010" max="11010" width="14.28125" style="1" customWidth="1"/>
    <col min="11011" max="11011" width="19.7109375" style="1" customWidth="1"/>
    <col min="11012" max="11012" width="31.00390625" style="1" customWidth="1"/>
    <col min="11013" max="11013" width="4.28125" style="1" customWidth="1"/>
    <col min="11014" max="11014" width="12.8515625" style="1" customWidth="1"/>
    <col min="11015" max="11015" width="12.00390625" style="1" customWidth="1"/>
    <col min="11016" max="11018" width="14.28125" style="1" customWidth="1"/>
    <col min="11019" max="11021" width="11.7109375" style="1" customWidth="1"/>
    <col min="11022" max="11032" width="11.57421875" style="1" customWidth="1"/>
    <col min="11033" max="11072" width="11.57421875" style="1" hidden="1" customWidth="1"/>
    <col min="11073" max="11264" width="11.57421875" style="1" customWidth="1"/>
    <col min="11265" max="11265" width="3.7109375" style="1" customWidth="1"/>
    <col min="11266" max="11266" width="14.28125" style="1" customWidth="1"/>
    <col min="11267" max="11267" width="19.7109375" style="1" customWidth="1"/>
    <col min="11268" max="11268" width="31.00390625" style="1" customWidth="1"/>
    <col min="11269" max="11269" width="4.28125" style="1" customWidth="1"/>
    <col min="11270" max="11270" width="12.8515625" style="1" customWidth="1"/>
    <col min="11271" max="11271" width="12.00390625" style="1" customWidth="1"/>
    <col min="11272" max="11274" width="14.28125" style="1" customWidth="1"/>
    <col min="11275" max="11277" width="11.7109375" style="1" customWidth="1"/>
    <col min="11278" max="11288" width="11.57421875" style="1" customWidth="1"/>
    <col min="11289" max="11328" width="11.57421875" style="1" hidden="1" customWidth="1"/>
    <col min="11329" max="11520" width="11.57421875" style="1" customWidth="1"/>
    <col min="11521" max="11521" width="3.7109375" style="1" customWidth="1"/>
    <col min="11522" max="11522" width="14.28125" style="1" customWidth="1"/>
    <col min="11523" max="11523" width="19.7109375" style="1" customWidth="1"/>
    <col min="11524" max="11524" width="31.00390625" style="1" customWidth="1"/>
    <col min="11525" max="11525" width="4.28125" style="1" customWidth="1"/>
    <col min="11526" max="11526" width="12.8515625" style="1" customWidth="1"/>
    <col min="11527" max="11527" width="12.00390625" style="1" customWidth="1"/>
    <col min="11528" max="11530" width="14.28125" style="1" customWidth="1"/>
    <col min="11531" max="11533" width="11.7109375" style="1" customWidth="1"/>
    <col min="11534" max="11544" width="11.57421875" style="1" customWidth="1"/>
    <col min="11545" max="11584" width="11.57421875" style="1" hidden="1" customWidth="1"/>
    <col min="11585" max="11776" width="11.57421875" style="1" customWidth="1"/>
    <col min="11777" max="11777" width="3.7109375" style="1" customWidth="1"/>
    <col min="11778" max="11778" width="14.28125" style="1" customWidth="1"/>
    <col min="11779" max="11779" width="19.7109375" style="1" customWidth="1"/>
    <col min="11780" max="11780" width="31.00390625" style="1" customWidth="1"/>
    <col min="11781" max="11781" width="4.28125" style="1" customWidth="1"/>
    <col min="11782" max="11782" width="12.8515625" style="1" customWidth="1"/>
    <col min="11783" max="11783" width="12.00390625" style="1" customWidth="1"/>
    <col min="11784" max="11786" width="14.28125" style="1" customWidth="1"/>
    <col min="11787" max="11789" width="11.7109375" style="1" customWidth="1"/>
    <col min="11790" max="11800" width="11.57421875" style="1" customWidth="1"/>
    <col min="11801" max="11840" width="11.57421875" style="1" hidden="1" customWidth="1"/>
    <col min="11841" max="12032" width="11.57421875" style="1" customWidth="1"/>
    <col min="12033" max="12033" width="3.7109375" style="1" customWidth="1"/>
    <col min="12034" max="12034" width="14.28125" style="1" customWidth="1"/>
    <col min="12035" max="12035" width="19.7109375" style="1" customWidth="1"/>
    <col min="12036" max="12036" width="31.00390625" style="1" customWidth="1"/>
    <col min="12037" max="12037" width="4.28125" style="1" customWidth="1"/>
    <col min="12038" max="12038" width="12.8515625" style="1" customWidth="1"/>
    <col min="12039" max="12039" width="12.00390625" style="1" customWidth="1"/>
    <col min="12040" max="12042" width="14.28125" style="1" customWidth="1"/>
    <col min="12043" max="12045" width="11.7109375" style="1" customWidth="1"/>
    <col min="12046" max="12056" width="11.57421875" style="1" customWidth="1"/>
    <col min="12057" max="12096" width="11.57421875" style="1" hidden="1" customWidth="1"/>
    <col min="12097" max="12288" width="11.57421875" style="1" customWidth="1"/>
    <col min="12289" max="12289" width="3.7109375" style="1" customWidth="1"/>
    <col min="12290" max="12290" width="14.28125" style="1" customWidth="1"/>
    <col min="12291" max="12291" width="19.7109375" style="1" customWidth="1"/>
    <col min="12292" max="12292" width="31.00390625" style="1" customWidth="1"/>
    <col min="12293" max="12293" width="4.28125" style="1" customWidth="1"/>
    <col min="12294" max="12294" width="12.8515625" style="1" customWidth="1"/>
    <col min="12295" max="12295" width="12.00390625" style="1" customWidth="1"/>
    <col min="12296" max="12298" width="14.28125" style="1" customWidth="1"/>
    <col min="12299" max="12301" width="11.7109375" style="1" customWidth="1"/>
    <col min="12302" max="12312" width="11.57421875" style="1" customWidth="1"/>
    <col min="12313" max="12352" width="11.57421875" style="1" hidden="1" customWidth="1"/>
    <col min="12353" max="12544" width="11.57421875" style="1" customWidth="1"/>
    <col min="12545" max="12545" width="3.7109375" style="1" customWidth="1"/>
    <col min="12546" max="12546" width="14.28125" style="1" customWidth="1"/>
    <col min="12547" max="12547" width="19.7109375" style="1" customWidth="1"/>
    <col min="12548" max="12548" width="31.00390625" style="1" customWidth="1"/>
    <col min="12549" max="12549" width="4.28125" style="1" customWidth="1"/>
    <col min="12550" max="12550" width="12.8515625" style="1" customWidth="1"/>
    <col min="12551" max="12551" width="12.00390625" style="1" customWidth="1"/>
    <col min="12552" max="12554" width="14.28125" style="1" customWidth="1"/>
    <col min="12555" max="12557" width="11.7109375" style="1" customWidth="1"/>
    <col min="12558" max="12568" width="11.57421875" style="1" customWidth="1"/>
    <col min="12569" max="12608" width="11.57421875" style="1" hidden="1" customWidth="1"/>
    <col min="12609" max="12800" width="11.57421875" style="1" customWidth="1"/>
    <col min="12801" max="12801" width="3.7109375" style="1" customWidth="1"/>
    <col min="12802" max="12802" width="14.28125" style="1" customWidth="1"/>
    <col min="12803" max="12803" width="19.7109375" style="1" customWidth="1"/>
    <col min="12804" max="12804" width="31.00390625" style="1" customWidth="1"/>
    <col min="12805" max="12805" width="4.28125" style="1" customWidth="1"/>
    <col min="12806" max="12806" width="12.8515625" style="1" customWidth="1"/>
    <col min="12807" max="12807" width="12.00390625" style="1" customWidth="1"/>
    <col min="12808" max="12810" width="14.28125" style="1" customWidth="1"/>
    <col min="12811" max="12813" width="11.7109375" style="1" customWidth="1"/>
    <col min="12814" max="12824" width="11.57421875" style="1" customWidth="1"/>
    <col min="12825" max="12864" width="11.57421875" style="1" hidden="1" customWidth="1"/>
    <col min="12865" max="13056" width="11.57421875" style="1" customWidth="1"/>
    <col min="13057" max="13057" width="3.7109375" style="1" customWidth="1"/>
    <col min="13058" max="13058" width="14.28125" style="1" customWidth="1"/>
    <col min="13059" max="13059" width="19.7109375" style="1" customWidth="1"/>
    <col min="13060" max="13060" width="31.00390625" style="1" customWidth="1"/>
    <col min="13061" max="13061" width="4.28125" style="1" customWidth="1"/>
    <col min="13062" max="13062" width="12.8515625" style="1" customWidth="1"/>
    <col min="13063" max="13063" width="12.00390625" style="1" customWidth="1"/>
    <col min="13064" max="13066" width="14.28125" style="1" customWidth="1"/>
    <col min="13067" max="13069" width="11.7109375" style="1" customWidth="1"/>
    <col min="13070" max="13080" width="11.57421875" style="1" customWidth="1"/>
    <col min="13081" max="13120" width="11.57421875" style="1" hidden="1" customWidth="1"/>
    <col min="13121" max="13312" width="11.57421875" style="1" customWidth="1"/>
    <col min="13313" max="13313" width="3.7109375" style="1" customWidth="1"/>
    <col min="13314" max="13314" width="14.28125" style="1" customWidth="1"/>
    <col min="13315" max="13315" width="19.7109375" style="1" customWidth="1"/>
    <col min="13316" max="13316" width="31.00390625" style="1" customWidth="1"/>
    <col min="13317" max="13317" width="4.28125" style="1" customWidth="1"/>
    <col min="13318" max="13318" width="12.8515625" style="1" customWidth="1"/>
    <col min="13319" max="13319" width="12.00390625" style="1" customWidth="1"/>
    <col min="13320" max="13322" width="14.28125" style="1" customWidth="1"/>
    <col min="13323" max="13325" width="11.7109375" style="1" customWidth="1"/>
    <col min="13326" max="13336" width="11.57421875" style="1" customWidth="1"/>
    <col min="13337" max="13376" width="11.57421875" style="1" hidden="1" customWidth="1"/>
    <col min="13377" max="13568" width="11.57421875" style="1" customWidth="1"/>
    <col min="13569" max="13569" width="3.7109375" style="1" customWidth="1"/>
    <col min="13570" max="13570" width="14.28125" style="1" customWidth="1"/>
    <col min="13571" max="13571" width="19.7109375" style="1" customWidth="1"/>
    <col min="13572" max="13572" width="31.00390625" style="1" customWidth="1"/>
    <col min="13573" max="13573" width="4.28125" style="1" customWidth="1"/>
    <col min="13574" max="13574" width="12.8515625" style="1" customWidth="1"/>
    <col min="13575" max="13575" width="12.00390625" style="1" customWidth="1"/>
    <col min="13576" max="13578" width="14.28125" style="1" customWidth="1"/>
    <col min="13579" max="13581" width="11.7109375" style="1" customWidth="1"/>
    <col min="13582" max="13592" width="11.57421875" style="1" customWidth="1"/>
    <col min="13593" max="13632" width="11.57421875" style="1" hidden="1" customWidth="1"/>
    <col min="13633" max="13824" width="11.57421875" style="1" customWidth="1"/>
    <col min="13825" max="13825" width="3.7109375" style="1" customWidth="1"/>
    <col min="13826" max="13826" width="14.28125" style="1" customWidth="1"/>
    <col min="13827" max="13827" width="19.7109375" style="1" customWidth="1"/>
    <col min="13828" max="13828" width="31.00390625" style="1" customWidth="1"/>
    <col min="13829" max="13829" width="4.28125" style="1" customWidth="1"/>
    <col min="13830" max="13830" width="12.8515625" style="1" customWidth="1"/>
    <col min="13831" max="13831" width="12.00390625" style="1" customWidth="1"/>
    <col min="13832" max="13834" width="14.28125" style="1" customWidth="1"/>
    <col min="13835" max="13837" width="11.7109375" style="1" customWidth="1"/>
    <col min="13838" max="13848" width="11.57421875" style="1" customWidth="1"/>
    <col min="13849" max="13888" width="11.57421875" style="1" hidden="1" customWidth="1"/>
    <col min="13889" max="14080" width="11.57421875" style="1" customWidth="1"/>
    <col min="14081" max="14081" width="3.7109375" style="1" customWidth="1"/>
    <col min="14082" max="14082" width="14.28125" style="1" customWidth="1"/>
    <col min="14083" max="14083" width="19.7109375" style="1" customWidth="1"/>
    <col min="14084" max="14084" width="31.00390625" style="1" customWidth="1"/>
    <col min="14085" max="14085" width="4.28125" style="1" customWidth="1"/>
    <col min="14086" max="14086" width="12.8515625" style="1" customWidth="1"/>
    <col min="14087" max="14087" width="12.00390625" style="1" customWidth="1"/>
    <col min="14088" max="14090" width="14.28125" style="1" customWidth="1"/>
    <col min="14091" max="14093" width="11.7109375" style="1" customWidth="1"/>
    <col min="14094" max="14104" width="11.57421875" style="1" customWidth="1"/>
    <col min="14105" max="14144" width="11.57421875" style="1" hidden="1" customWidth="1"/>
    <col min="14145" max="14336" width="11.57421875" style="1" customWidth="1"/>
    <col min="14337" max="14337" width="3.7109375" style="1" customWidth="1"/>
    <col min="14338" max="14338" width="14.28125" style="1" customWidth="1"/>
    <col min="14339" max="14339" width="19.7109375" style="1" customWidth="1"/>
    <col min="14340" max="14340" width="31.00390625" style="1" customWidth="1"/>
    <col min="14341" max="14341" width="4.28125" style="1" customWidth="1"/>
    <col min="14342" max="14342" width="12.8515625" style="1" customWidth="1"/>
    <col min="14343" max="14343" width="12.00390625" style="1" customWidth="1"/>
    <col min="14344" max="14346" width="14.28125" style="1" customWidth="1"/>
    <col min="14347" max="14349" width="11.7109375" style="1" customWidth="1"/>
    <col min="14350" max="14360" width="11.57421875" style="1" customWidth="1"/>
    <col min="14361" max="14400" width="11.57421875" style="1" hidden="1" customWidth="1"/>
    <col min="14401" max="14592" width="11.57421875" style="1" customWidth="1"/>
    <col min="14593" max="14593" width="3.7109375" style="1" customWidth="1"/>
    <col min="14594" max="14594" width="14.28125" style="1" customWidth="1"/>
    <col min="14595" max="14595" width="19.7109375" style="1" customWidth="1"/>
    <col min="14596" max="14596" width="31.00390625" style="1" customWidth="1"/>
    <col min="14597" max="14597" width="4.28125" style="1" customWidth="1"/>
    <col min="14598" max="14598" width="12.8515625" style="1" customWidth="1"/>
    <col min="14599" max="14599" width="12.00390625" style="1" customWidth="1"/>
    <col min="14600" max="14602" width="14.28125" style="1" customWidth="1"/>
    <col min="14603" max="14605" width="11.7109375" style="1" customWidth="1"/>
    <col min="14606" max="14616" width="11.57421875" style="1" customWidth="1"/>
    <col min="14617" max="14656" width="11.57421875" style="1" hidden="1" customWidth="1"/>
    <col min="14657" max="14848" width="11.57421875" style="1" customWidth="1"/>
    <col min="14849" max="14849" width="3.7109375" style="1" customWidth="1"/>
    <col min="14850" max="14850" width="14.28125" style="1" customWidth="1"/>
    <col min="14851" max="14851" width="19.7109375" style="1" customWidth="1"/>
    <col min="14852" max="14852" width="31.00390625" style="1" customWidth="1"/>
    <col min="14853" max="14853" width="4.28125" style="1" customWidth="1"/>
    <col min="14854" max="14854" width="12.8515625" style="1" customWidth="1"/>
    <col min="14855" max="14855" width="12.00390625" style="1" customWidth="1"/>
    <col min="14856" max="14858" width="14.28125" style="1" customWidth="1"/>
    <col min="14859" max="14861" width="11.7109375" style="1" customWidth="1"/>
    <col min="14862" max="14872" width="11.57421875" style="1" customWidth="1"/>
    <col min="14873" max="14912" width="11.57421875" style="1" hidden="1" customWidth="1"/>
    <col min="14913" max="15104" width="11.57421875" style="1" customWidth="1"/>
    <col min="15105" max="15105" width="3.7109375" style="1" customWidth="1"/>
    <col min="15106" max="15106" width="14.28125" style="1" customWidth="1"/>
    <col min="15107" max="15107" width="19.7109375" style="1" customWidth="1"/>
    <col min="15108" max="15108" width="31.00390625" style="1" customWidth="1"/>
    <col min="15109" max="15109" width="4.28125" style="1" customWidth="1"/>
    <col min="15110" max="15110" width="12.8515625" style="1" customWidth="1"/>
    <col min="15111" max="15111" width="12.00390625" style="1" customWidth="1"/>
    <col min="15112" max="15114" width="14.28125" style="1" customWidth="1"/>
    <col min="15115" max="15117" width="11.7109375" style="1" customWidth="1"/>
    <col min="15118" max="15128" width="11.57421875" style="1" customWidth="1"/>
    <col min="15129" max="15168" width="11.57421875" style="1" hidden="1" customWidth="1"/>
    <col min="15169" max="15360" width="11.57421875" style="1" customWidth="1"/>
    <col min="15361" max="15361" width="3.7109375" style="1" customWidth="1"/>
    <col min="15362" max="15362" width="14.28125" style="1" customWidth="1"/>
    <col min="15363" max="15363" width="19.7109375" style="1" customWidth="1"/>
    <col min="15364" max="15364" width="31.00390625" style="1" customWidth="1"/>
    <col min="15365" max="15365" width="4.28125" style="1" customWidth="1"/>
    <col min="15366" max="15366" width="12.8515625" style="1" customWidth="1"/>
    <col min="15367" max="15367" width="12.00390625" style="1" customWidth="1"/>
    <col min="15368" max="15370" width="14.28125" style="1" customWidth="1"/>
    <col min="15371" max="15373" width="11.7109375" style="1" customWidth="1"/>
    <col min="15374" max="15384" width="11.57421875" style="1" customWidth="1"/>
    <col min="15385" max="15424" width="11.57421875" style="1" hidden="1" customWidth="1"/>
    <col min="15425" max="15616" width="11.57421875" style="1" customWidth="1"/>
    <col min="15617" max="15617" width="3.7109375" style="1" customWidth="1"/>
    <col min="15618" max="15618" width="14.28125" style="1" customWidth="1"/>
    <col min="15619" max="15619" width="19.7109375" style="1" customWidth="1"/>
    <col min="15620" max="15620" width="31.00390625" style="1" customWidth="1"/>
    <col min="15621" max="15621" width="4.28125" style="1" customWidth="1"/>
    <col min="15622" max="15622" width="12.8515625" style="1" customWidth="1"/>
    <col min="15623" max="15623" width="12.00390625" style="1" customWidth="1"/>
    <col min="15624" max="15626" width="14.28125" style="1" customWidth="1"/>
    <col min="15627" max="15629" width="11.7109375" style="1" customWidth="1"/>
    <col min="15630" max="15640" width="11.57421875" style="1" customWidth="1"/>
    <col min="15641" max="15680" width="11.57421875" style="1" hidden="1" customWidth="1"/>
    <col min="15681" max="15872" width="11.57421875" style="1" customWidth="1"/>
    <col min="15873" max="15873" width="3.7109375" style="1" customWidth="1"/>
    <col min="15874" max="15874" width="14.28125" style="1" customWidth="1"/>
    <col min="15875" max="15875" width="19.7109375" style="1" customWidth="1"/>
    <col min="15876" max="15876" width="31.00390625" style="1" customWidth="1"/>
    <col min="15877" max="15877" width="4.28125" style="1" customWidth="1"/>
    <col min="15878" max="15878" width="12.8515625" style="1" customWidth="1"/>
    <col min="15879" max="15879" width="12.00390625" style="1" customWidth="1"/>
    <col min="15880" max="15882" width="14.28125" style="1" customWidth="1"/>
    <col min="15883" max="15885" width="11.7109375" style="1" customWidth="1"/>
    <col min="15886" max="15896" width="11.57421875" style="1" customWidth="1"/>
    <col min="15897" max="15936" width="11.57421875" style="1" hidden="1" customWidth="1"/>
    <col min="15937" max="16128" width="11.57421875" style="1" customWidth="1"/>
    <col min="16129" max="16129" width="3.7109375" style="1" customWidth="1"/>
    <col min="16130" max="16130" width="14.28125" style="1" customWidth="1"/>
    <col min="16131" max="16131" width="19.7109375" style="1" customWidth="1"/>
    <col min="16132" max="16132" width="31.00390625" style="1" customWidth="1"/>
    <col min="16133" max="16133" width="4.28125" style="1" customWidth="1"/>
    <col min="16134" max="16134" width="12.8515625" style="1" customWidth="1"/>
    <col min="16135" max="16135" width="12.00390625" style="1" customWidth="1"/>
    <col min="16136" max="16138" width="14.28125" style="1" customWidth="1"/>
    <col min="16139" max="16141" width="11.7109375" style="1" customWidth="1"/>
    <col min="16142" max="16152" width="11.57421875" style="1" customWidth="1"/>
    <col min="16153" max="16192" width="11.57421875" style="1" hidden="1" customWidth="1"/>
    <col min="16193" max="16384" width="11.57421875" style="1" customWidth="1"/>
  </cols>
  <sheetData>
    <row r="1" spans="1:13" ht="73.2" customHeight="1">
      <c r="A1" s="603" t="s">
        <v>0</v>
      </c>
      <c r="B1" s="604"/>
      <c r="C1" s="604"/>
      <c r="D1" s="604"/>
      <c r="E1" s="604"/>
      <c r="F1" s="604"/>
      <c r="G1" s="604"/>
      <c r="H1" s="604"/>
      <c r="I1" s="604"/>
      <c r="J1" s="604"/>
      <c r="K1" s="604"/>
      <c r="L1" s="604"/>
      <c r="M1" s="604"/>
    </row>
    <row r="2" spans="1:14" ht="15">
      <c r="A2" s="605" t="s">
        <v>1</v>
      </c>
      <c r="B2" s="606"/>
      <c r="C2" s="609" t="s">
        <v>574</v>
      </c>
      <c r="D2" s="610"/>
      <c r="E2" s="612" t="s">
        <v>3</v>
      </c>
      <c r="F2" s="606"/>
      <c r="G2" s="612" t="s">
        <v>4</v>
      </c>
      <c r="H2" s="613" t="s">
        <v>5</v>
      </c>
      <c r="I2" s="613" t="s">
        <v>6</v>
      </c>
      <c r="J2" s="606"/>
      <c r="K2" s="606"/>
      <c r="L2" s="606"/>
      <c r="M2" s="614"/>
      <c r="N2" s="2"/>
    </row>
    <row r="3" spans="1:14" ht="31.95" customHeight="1">
      <c r="A3" s="607"/>
      <c r="B3" s="608"/>
      <c r="C3" s="611"/>
      <c r="D3" s="611"/>
      <c r="E3" s="608"/>
      <c r="F3" s="608"/>
      <c r="G3" s="608"/>
      <c r="H3" s="608"/>
      <c r="I3" s="608"/>
      <c r="J3" s="608"/>
      <c r="K3" s="608"/>
      <c r="L3" s="608"/>
      <c r="M3" s="615"/>
      <c r="N3" s="2"/>
    </row>
    <row r="4" spans="1:14" ht="15">
      <c r="A4" s="616" t="s">
        <v>7</v>
      </c>
      <c r="B4" s="608"/>
      <c r="C4" s="617" t="s">
        <v>8</v>
      </c>
      <c r="D4" s="608"/>
      <c r="E4" s="618" t="s">
        <v>9</v>
      </c>
      <c r="F4" s="608"/>
      <c r="G4" s="618" t="s">
        <v>4</v>
      </c>
      <c r="H4" s="617" t="s">
        <v>10</v>
      </c>
      <c r="I4" s="617" t="s">
        <v>11</v>
      </c>
      <c r="J4" s="608"/>
      <c r="K4" s="608"/>
      <c r="L4" s="608"/>
      <c r="M4" s="615"/>
      <c r="N4" s="2"/>
    </row>
    <row r="5" spans="1:14" ht="15">
      <c r="A5" s="607"/>
      <c r="B5" s="608"/>
      <c r="C5" s="608"/>
      <c r="D5" s="608"/>
      <c r="E5" s="608"/>
      <c r="F5" s="608"/>
      <c r="G5" s="608"/>
      <c r="H5" s="608"/>
      <c r="I5" s="608"/>
      <c r="J5" s="608"/>
      <c r="K5" s="608"/>
      <c r="L5" s="608"/>
      <c r="M5" s="615"/>
      <c r="N5" s="2"/>
    </row>
    <row r="6" spans="1:14" ht="15">
      <c r="A6" s="616" t="s">
        <v>12</v>
      </c>
      <c r="B6" s="608"/>
      <c r="C6" s="617" t="s">
        <v>13</v>
      </c>
      <c r="D6" s="608"/>
      <c r="E6" s="618" t="s">
        <v>14</v>
      </c>
      <c r="F6" s="608"/>
      <c r="G6" s="618" t="s">
        <v>4</v>
      </c>
      <c r="H6" s="617" t="s">
        <v>15</v>
      </c>
      <c r="I6" s="619"/>
      <c r="J6" s="620"/>
      <c r="K6" s="620"/>
      <c r="L6" s="620"/>
      <c r="M6" s="621"/>
      <c r="N6" s="2"/>
    </row>
    <row r="7" spans="1:14" ht="15">
      <c r="A7" s="607"/>
      <c r="B7" s="608"/>
      <c r="C7" s="608"/>
      <c r="D7" s="608"/>
      <c r="E7" s="608"/>
      <c r="F7" s="608"/>
      <c r="G7" s="608"/>
      <c r="H7" s="608"/>
      <c r="I7" s="620"/>
      <c r="J7" s="620"/>
      <c r="K7" s="620"/>
      <c r="L7" s="620"/>
      <c r="M7" s="621"/>
      <c r="N7" s="2"/>
    </row>
    <row r="8" spans="1:14" ht="15">
      <c r="A8" s="616" t="s">
        <v>16</v>
      </c>
      <c r="B8" s="608"/>
      <c r="C8" s="617" t="s">
        <v>4</v>
      </c>
      <c r="D8" s="608"/>
      <c r="E8" s="618" t="s">
        <v>17</v>
      </c>
      <c r="F8" s="608"/>
      <c r="G8" s="618"/>
      <c r="H8" s="617" t="s">
        <v>18</v>
      </c>
      <c r="I8" s="617"/>
      <c r="J8" s="608"/>
      <c r="K8" s="608"/>
      <c r="L8" s="608"/>
      <c r="M8" s="615"/>
      <c r="N8" s="2"/>
    </row>
    <row r="9" spans="1:14" ht="13.8" thickBot="1">
      <c r="A9" s="631"/>
      <c r="B9" s="632"/>
      <c r="C9" s="632"/>
      <c r="D9" s="632"/>
      <c r="E9" s="632"/>
      <c r="F9" s="632"/>
      <c r="G9" s="632"/>
      <c r="H9" s="632"/>
      <c r="I9" s="632"/>
      <c r="J9" s="632"/>
      <c r="K9" s="632"/>
      <c r="L9" s="632"/>
      <c r="M9" s="633"/>
      <c r="N9" s="2"/>
    </row>
    <row r="10" spans="1:64" ht="15">
      <c r="A10" s="4" t="s">
        <v>19</v>
      </c>
      <c r="B10" s="5" t="s">
        <v>20</v>
      </c>
      <c r="C10" s="622" t="s">
        <v>21</v>
      </c>
      <c r="D10" s="623"/>
      <c r="E10" s="5" t="s">
        <v>22</v>
      </c>
      <c r="F10" s="6" t="s">
        <v>23</v>
      </c>
      <c r="G10" s="7" t="s">
        <v>24</v>
      </c>
      <c r="H10" s="624" t="s">
        <v>25</v>
      </c>
      <c r="I10" s="625"/>
      <c r="J10" s="626"/>
      <c r="K10" s="624" t="s">
        <v>26</v>
      </c>
      <c r="L10" s="626"/>
      <c r="M10" s="8" t="s">
        <v>27</v>
      </c>
      <c r="N10" s="9"/>
      <c r="BK10" s="10" t="s">
        <v>28</v>
      </c>
      <c r="BL10" s="11" t="s">
        <v>29</v>
      </c>
    </row>
    <row r="11" spans="1:62" ht="13.8" thickBot="1">
      <c r="A11" s="12" t="s">
        <v>4</v>
      </c>
      <c r="B11" s="13" t="s">
        <v>4</v>
      </c>
      <c r="C11" s="627" t="s">
        <v>30</v>
      </c>
      <c r="D11" s="628"/>
      <c r="E11" s="13" t="s">
        <v>4</v>
      </c>
      <c r="F11" s="13" t="s">
        <v>4</v>
      </c>
      <c r="G11" s="14" t="s">
        <v>31</v>
      </c>
      <c r="H11" s="15" t="s">
        <v>32</v>
      </c>
      <c r="I11" s="16" t="s">
        <v>33</v>
      </c>
      <c r="J11" s="17" t="s">
        <v>34</v>
      </c>
      <c r="K11" s="15" t="s">
        <v>35</v>
      </c>
      <c r="L11" s="17" t="s">
        <v>34</v>
      </c>
      <c r="M11" s="18" t="s">
        <v>36</v>
      </c>
      <c r="N11" s="9"/>
      <c r="Z11" s="10" t="s">
        <v>37</v>
      </c>
      <c r="AA11" s="10" t="s">
        <v>38</v>
      </c>
      <c r="AB11" s="10" t="s">
        <v>39</v>
      </c>
      <c r="AC11" s="10" t="s">
        <v>40</v>
      </c>
      <c r="AD11" s="10" t="s">
        <v>41</v>
      </c>
      <c r="AE11" s="10" t="s">
        <v>42</v>
      </c>
      <c r="AF11" s="10" t="s">
        <v>43</v>
      </c>
      <c r="AG11" s="10" t="s">
        <v>44</v>
      </c>
      <c r="AH11" s="10" t="s">
        <v>45</v>
      </c>
      <c r="BH11" s="10" t="s">
        <v>46</v>
      </c>
      <c r="BI11" s="10" t="s">
        <v>47</v>
      </c>
      <c r="BJ11" s="10" t="s">
        <v>48</v>
      </c>
    </row>
    <row r="12" spans="1:47" ht="15">
      <c r="A12" s="35"/>
      <c r="B12" s="36" t="s">
        <v>76</v>
      </c>
      <c r="C12" s="629" t="s">
        <v>77</v>
      </c>
      <c r="D12" s="630"/>
      <c r="E12" s="37" t="s">
        <v>4</v>
      </c>
      <c r="F12" s="37" t="s">
        <v>4</v>
      </c>
      <c r="G12" s="37" t="s">
        <v>4</v>
      </c>
      <c r="H12" s="38">
        <f>SUM(H13:H18)</f>
        <v>0</v>
      </c>
      <c r="I12" s="38">
        <f>SUM(I13:I18)</f>
        <v>0</v>
      </c>
      <c r="J12" s="38">
        <f>SUM(J13:J18)</f>
        <v>0</v>
      </c>
      <c r="K12" s="39"/>
      <c r="L12" s="38">
        <f>SUM(L13:L18)</f>
        <v>0</v>
      </c>
      <c r="M12" s="40"/>
      <c r="N12" s="2"/>
      <c r="AI12" s="10"/>
      <c r="AS12" s="19">
        <f>SUM(AJ13:AJ18)</f>
        <v>0</v>
      </c>
      <c r="AT12" s="19">
        <f>SUM(AK13:AK18)</f>
        <v>0</v>
      </c>
      <c r="AU12" s="19">
        <f>SUM(AL13:AL18)</f>
        <v>0</v>
      </c>
    </row>
    <row r="13" spans="1:64" ht="15">
      <c r="A13" s="20" t="s">
        <v>51</v>
      </c>
      <c r="B13" s="3" t="s">
        <v>79</v>
      </c>
      <c r="C13" s="618" t="s">
        <v>80</v>
      </c>
      <c r="D13" s="608"/>
      <c r="E13" s="3" t="s">
        <v>81</v>
      </c>
      <c r="F13" s="21">
        <v>630.6</v>
      </c>
      <c r="G13" s="537"/>
      <c r="H13" s="21">
        <f>F13*AO13</f>
        <v>0</v>
      </c>
      <c r="I13" s="21">
        <f>F13*AP13</f>
        <v>0</v>
      </c>
      <c r="J13" s="21">
        <f>F13*G13</f>
        <v>0</v>
      </c>
      <c r="K13" s="21">
        <v>0</v>
      </c>
      <c r="L13" s="21">
        <f>F13*K13</f>
        <v>0</v>
      </c>
      <c r="M13" s="22" t="s">
        <v>55</v>
      </c>
      <c r="N13" s="2"/>
      <c r="Z13" s="21">
        <f>IF(AQ13="5",BJ13,0)</f>
        <v>0</v>
      </c>
      <c r="AB13" s="21">
        <f>IF(AQ13="1",BH13,0)</f>
        <v>0</v>
      </c>
      <c r="AC13" s="21">
        <f>IF(AQ13="1",BI13,0)</f>
        <v>0</v>
      </c>
      <c r="AD13" s="21">
        <f>IF(AQ13="7",BH13,0)</f>
        <v>0</v>
      </c>
      <c r="AE13" s="21">
        <f>IF(AQ13="7",BI13,0)</f>
        <v>0</v>
      </c>
      <c r="AF13" s="21">
        <f>IF(AQ13="2",BH13,0)</f>
        <v>0</v>
      </c>
      <c r="AG13" s="21">
        <f>IF(AQ13="2",BI13,0)</f>
        <v>0</v>
      </c>
      <c r="AH13" s="21">
        <f>IF(AQ13="0",BJ13,0)</f>
        <v>0</v>
      </c>
      <c r="AI13" s="10"/>
      <c r="AJ13" s="21">
        <f>IF(AN13=0,J13,0)</f>
        <v>0</v>
      </c>
      <c r="AK13" s="21">
        <f>IF(AN13=15,J13,0)</f>
        <v>0</v>
      </c>
      <c r="AL13" s="21">
        <f>IF(AN13=21,J13,0)</f>
        <v>0</v>
      </c>
      <c r="AN13" s="21">
        <v>21</v>
      </c>
      <c r="AO13" s="21">
        <f>G13*0</f>
        <v>0</v>
      </c>
      <c r="AP13" s="21">
        <f>G13*(1-0)</f>
        <v>0</v>
      </c>
      <c r="AQ13" s="23" t="s">
        <v>51</v>
      </c>
      <c r="AV13" s="21">
        <f>AW13+AX13</f>
        <v>0</v>
      </c>
      <c r="AW13" s="21">
        <f>F13*AO13</f>
        <v>0</v>
      </c>
      <c r="AX13" s="21">
        <f>F13*AP13</f>
        <v>0</v>
      </c>
      <c r="AY13" s="23" t="s">
        <v>82</v>
      </c>
      <c r="AZ13" s="23" t="s">
        <v>57</v>
      </c>
      <c r="BA13" s="10" t="s">
        <v>58</v>
      </c>
      <c r="BC13" s="21">
        <f>AW13+AX13</f>
        <v>0</v>
      </c>
      <c r="BD13" s="21">
        <f>G13/(100-BE13)*100</f>
        <v>0</v>
      </c>
      <c r="BE13" s="21">
        <v>0</v>
      </c>
      <c r="BF13" s="21">
        <f>L13</f>
        <v>0</v>
      </c>
      <c r="BH13" s="21">
        <f>F13*AO13</f>
        <v>0</v>
      </c>
      <c r="BI13" s="21">
        <f>F13*AP13</f>
        <v>0</v>
      </c>
      <c r="BJ13" s="21">
        <f>F13*G13</f>
        <v>0</v>
      </c>
      <c r="BK13" s="21" t="s">
        <v>59</v>
      </c>
      <c r="BL13" s="21">
        <v>12</v>
      </c>
    </row>
    <row r="14" spans="1:14" ht="15">
      <c r="A14" s="2"/>
      <c r="C14" s="24" t="s">
        <v>575</v>
      </c>
      <c r="D14" s="24"/>
      <c r="F14" s="25">
        <v>630.6</v>
      </c>
      <c r="M14" s="26"/>
      <c r="N14" s="2"/>
    </row>
    <row r="15" spans="1:14" ht="15">
      <c r="A15" s="2"/>
      <c r="B15" s="27" t="s">
        <v>61</v>
      </c>
      <c r="C15" s="634" t="s">
        <v>84</v>
      </c>
      <c r="D15" s="635"/>
      <c r="E15" s="635"/>
      <c r="F15" s="635"/>
      <c r="G15" s="635"/>
      <c r="H15" s="635"/>
      <c r="I15" s="635"/>
      <c r="J15" s="635"/>
      <c r="K15" s="635"/>
      <c r="L15" s="635"/>
      <c r="M15" s="636"/>
      <c r="N15" s="2"/>
    </row>
    <row r="16" spans="1:64" ht="15">
      <c r="A16" s="20" t="s">
        <v>63</v>
      </c>
      <c r="B16" s="3" t="s">
        <v>86</v>
      </c>
      <c r="C16" s="618" t="s">
        <v>87</v>
      </c>
      <c r="D16" s="608"/>
      <c r="E16" s="3" t="s">
        <v>81</v>
      </c>
      <c r="F16" s="21">
        <v>490</v>
      </c>
      <c r="G16" s="537"/>
      <c r="H16" s="21">
        <f>F16*AO16</f>
        <v>0</v>
      </c>
      <c r="I16" s="21">
        <f>F16*AP16</f>
        <v>0</v>
      </c>
      <c r="J16" s="21">
        <f>F16*G16</f>
        <v>0</v>
      </c>
      <c r="K16" s="21">
        <v>0</v>
      </c>
      <c r="L16" s="21">
        <f>F16*K16</f>
        <v>0</v>
      </c>
      <c r="M16" s="22" t="s">
        <v>55</v>
      </c>
      <c r="N16" s="2"/>
      <c r="Z16" s="21">
        <f>IF(AQ16="5",BJ16,0)</f>
        <v>0</v>
      </c>
      <c r="AB16" s="21">
        <f>IF(AQ16="1",BH16,0)</f>
        <v>0</v>
      </c>
      <c r="AC16" s="21">
        <f>IF(AQ16="1",BI16,0)</f>
        <v>0</v>
      </c>
      <c r="AD16" s="21">
        <f>IF(AQ16="7",BH16,0)</f>
        <v>0</v>
      </c>
      <c r="AE16" s="21">
        <f>IF(AQ16="7",BI16,0)</f>
        <v>0</v>
      </c>
      <c r="AF16" s="21">
        <f>IF(AQ16="2",BH16,0)</f>
        <v>0</v>
      </c>
      <c r="AG16" s="21">
        <f>IF(AQ16="2",BI16,0)</f>
        <v>0</v>
      </c>
      <c r="AH16" s="21">
        <f>IF(AQ16="0",BJ16,0)</f>
        <v>0</v>
      </c>
      <c r="AI16" s="10"/>
      <c r="AJ16" s="21">
        <f>IF(AN16=0,J16,0)</f>
        <v>0</v>
      </c>
      <c r="AK16" s="21">
        <f>IF(AN16=15,J16,0)</f>
        <v>0</v>
      </c>
      <c r="AL16" s="21">
        <f>IF(AN16=21,J16,0)</f>
        <v>0</v>
      </c>
      <c r="AN16" s="21">
        <v>21</v>
      </c>
      <c r="AO16" s="21">
        <f>G16*0</f>
        <v>0</v>
      </c>
      <c r="AP16" s="21">
        <f>G16*(1-0)</f>
        <v>0</v>
      </c>
      <c r="AQ16" s="23" t="s">
        <v>51</v>
      </c>
      <c r="AV16" s="21">
        <f>AW16+AX16</f>
        <v>0</v>
      </c>
      <c r="AW16" s="21">
        <f>F16*AO16</f>
        <v>0</v>
      </c>
      <c r="AX16" s="21">
        <f>F16*AP16</f>
        <v>0</v>
      </c>
      <c r="AY16" s="23" t="s">
        <v>82</v>
      </c>
      <c r="AZ16" s="23" t="s">
        <v>57</v>
      </c>
      <c r="BA16" s="10" t="s">
        <v>58</v>
      </c>
      <c r="BC16" s="21">
        <f>AW16+AX16</f>
        <v>0</v>
      </c>
      <c r="BD16" s="21">
        <f>G16/(100-BE16)*100</f>
        <v>0</v>
      </c>
      <c r="BE16" s="21">
        <v>0</v>
      </c>
      <c r="BF16" s="21">
        <f>L16</f>
        <v>0</v>
      </c>
      <c r="BH16" s="21">
        <f>F16*AO16</f>
        <v>0</v>
      </c>
      <c r="BI16" s="21">
        <f>F16*AP16</f>
        <v>0</v>
      </c>
      <c r="BJ16" s="21">
        <f>F16*G16</f>
        <v>0</v>
      </c>
      <c r="BK16" s="21" t="s">
        <v>59</v>
      </c>
      <c r="BL16" s="21">
        <v>12</v>
      </c>
    </row>
    <row r="17" spans="1:14" ht="15">
      <c r="A17" s="2"/>
      <c r="C17" s="24" t="s">
        <v>576</v>
      </c>
      <c r="D17" s="24"/>
      <c r="F17" s="25">
        <v>490</v>
      </c>
      <c r="M17" s="26"/>
      <c r="N17" s="2"/>
    </row>
    <row r="18" spans="1:64" ht="15">
      <c r="A18" s="20" t="s">
        <v>67</v>
      </c>
      <c r="B18" s="3" t="s">
        <v>447</v>
      </c>
      <c r="C18" s="618" t="s">
        <v>448</v>
      </c>
      <c r="D18" s="608"/>
      <c r="E18" s="3" t="s">
        <v>81</v>
      </c>
      <c r="F18" s="21">
        <v>14</v>
      </c>
      <c r="G18" s="537"/>
      <c r="H18" s="21">
        <f>F18*AO18</f>
        <v>0</v>
      </c>
      <c r="I18" s="21">
        <f>F18*AP18</f>
        <v>0</v>
      </c>
      <c r="J18" s="21">
        <f>F18*G18</f>
        <v>0</v>
      </c>
      <c r="K18" s="21">
        <v>0</v>
      </c>
      <c r="L18" s="21">
        <f>F18*K18</f>
        <v>0</v>
      </c>
      <c r="M18" s="22" t="s">
        <v>55</v>
      </c>
      <c r="N18" s="2"/>
      <c r="Z18" s="21">
        <f>IF(AQ18="5",BJ18,0)</f>
        <v>0</v>
      </c>
      <c r="AB18" s="21">
        <f>IF(AQ18="1",BH18,0)</f>
        <v>0</v>
      </c>
      <c r="AC18" s="21">
        <f>IF(AQ18="1",BI18,0)</f>
        <v>0</v>
      </c>
      <c r="AD18" s="21">
        <f>IF(AQ18="7",BH18,0)</f>
        <v>0</v>
      </c>
      <c r="AE18" s="21">
        <f>IF(AQ18="7",BI18,0)</f>
        <v>0</v>
      </c>
      <c r="AF18" s="21">
        <f>IF(AQ18="2",BH18,0)</f>
        <v>0</v>
      </c>
      <c r="AG18" s="21">
        <f>IF(AQ18="2",BI18,0)</f>
        <v>0</v>
      </c>
      <c r="AH18" s="21">
        <f>IF(AQ18="0",BJ18,0)</f>
        <v>0</v>
      </c>
      <c r="AI18" s="10"/>
      <c r="AJ18" s="21">
        <f>IF(AN18=0,J18,0)</f>
        <v>0</v>
      </c>
      <c r="AK18" s="21">
        <f>IF(AN18=15,J18,0)</f>
        <v>0</v>
      </c>
      <c r="AL18" s="21">
        <f>IF(AN18=21,J18,0)</f>
        <v>0</v>
      </c>
      <c r="AN18" s="21">
        <v>21</v>
      </c>
      <c r="AO18" s="21">
        <f>G18*0</f>
        <v>0</v>
      </c>
      <c r="AP18" s="21">
        <f>G18*(1-0)</f>
        <v>0</v>
      </c>
      <c r="AQ18" s="23" t="s">
        <v>51</v>
      </c>
      <c r="AV18" s="21">
        <f>AW18+AX18</f>
        <v>0</v>
      </c>
      <c r="AW18" s="21">
        <f>F18*AO18</f>
        <v>0</v>
      </c>
      <c r="AX18" s="21">
        <f>F18*AP18</f>
        <v>0</v>
      </c>
      <c r="AY18" s="23" t="s">
        <v>82</v>
      </c>
      <c r="AZ18" s="23" t="s">
        <v>57</v>
      </c>
      <c r="BA18" s="10" t="s">
        <v>58</v>
      </c>
      <c r="BC18" s="21">
        <f>AW18+AX18</f>
        <v>0</v>
      </c>
      <c r="BD18" s="21">
        <f>G18/(100-BE18)*100</f>
        <v>0</v>
      </c>
      <c r="BE18" s="21">
        <v>0</v>
      </c>
      <c r="BF18" s="21">
        <f>L18</f>
        <v>0</v>
      </c>
      <c r="BH18" s="21">
        <f>F18*AO18</f>
        <v>0</v>
      </c>
      <c r="BI18" s="21">
        <f>F18*AP18</f>
        <v>0</v>
      </c>
      <c r="BJ18" s="21">
        <f>F18*G18</f>
        <v>0</v>
      </c>
      <c r="BK18" s="21" t="s">
        <v>59</v>
      </c>
      <c r="BL18" s="21">
        <v>12</v>
      </c>
    </row>
    <row r="19" spans="1:14" ht="15">
      <c r="A19" s="2"/>
      <c r="C19" s="24" t="s">
        <v>128</v>
      </c>
      <c r="D19" s="24" t="s">
        <v>449</v>
      </c>
      <c r="F19" s="25">
        <v>14</v>
      </c>
      <c r="M19" s="26"/>
      <c r="N19" s="2"/>
    </row>
    <row r="20" spans="1:14" ht="15">
      <c r="A20" s="2"/>
      <c r="B20" s="27" t="s">
        <v>61</v>
      </c>
      <c r="C20" s="634" t="s">
        <v>450</v>
      </c>
      <c r="D20" s="635"/>
      <c r="E20" s="635"/>
      <c r="F20" s="635"/>
      <c r="G20" s="635"/>
      <c r="H20" s="635"/>
      <c r="I20" s="635"/>
      <c r="J20" s="635"/>
      <c r="K20" s="635"/>
      <c r="L20" s="635"/>
      <c r="M20" s="636"/>
      <c r="N20" s="2"/>
    </row>
    <row r="21" spans="1:47" ht="15">
      <c r="A21" s="41"/>
      <c r="B21" s="42" t="s">
        <v>92</v>
      </c>
      <c r="C21" s="637" t="s">
        <v>93</v>
      </c>
      <c r="D21" s="638"/>
      <c r="E21" s="43" t="s">
        <v>4</v>
      </c>
      <c r="F21" s="43" t="s">
        <v>4</v>
      </c>
      <c r="G21" s="43" t="s">
        <v>4</v>
      </c>
      <c r="H21" s="44">
        <f>SUM(H22:H24)</f>
        <v>0</v>
      </c>
      <c r="I21" s="44">
        <f>SUM(I22:I24)</f>
        <v>0</v>
      </c>
      <c r="J21" s="44">
        <f>SUM(J22:J24)</f>
        <v>0</v>
      </c>
      <c r="K21" s="45"/>
      <c r="L21" s="44">
        <f>SUM(L22:L24)</f>
        <v>0</v>
      </c>
      <c r="M21" s="46"/>
      <c r="N21" s="2"/>
      <c r="AI21" s="10"/>
      <c r="AS21" s="19">
        <f>SUM(AJ22:AJ24)</f>
        <v>0</v>
      </c>
      <c r="AT21" s="19">
        <f>SUM(AK22:AK24)</f>
        <v>0</v>
      </c>
      <c r="AU21" s="19">
        <f>SUM(AL22:AL24)</f>
        <v>0</v>
      </c>
    </row>
    <row r="22" spans="1:64" ht="15">
      <c r="A22" s="20" t="s">
        <v>71</v>
      </c>
      <c r="B22" s="3" t="s">
        <v>95</v>
      </c>
      <c r="C22" s="618" t="s">
        <v>96</v>
      </c>
      <c r="D22" s="608"/>
      <c r="E22" s="3" t="s">
        <v>81</v>
      </c>
      <c r="F22" s="21">
        <v>630.6</v>
      </c>
      <c r="G22" s="537"/>
      <c r="H22" s="21">
        <f>F22*AO22</f>
        <v>0</v>
      </c>
      <c r="I22" s="21">
        <f>F22*AP22</f>
        <v>0</v>
      </c>
      <c r="J22" s="21">
        <f>F22*G22</f>
        <v>0</v>
      </c>
      <c r="K22" s="21">
        <v>0</v>
      </c>
      <c r="L22" s="21">
        <f>F22*K22</f>
        <v>0</v>
      </c>
      <c r="M22" s="22" t="s">
        <v>55</v>
      </c>
      <c r="N22" s="2"/>
      <c r="Z22" s="21">
        <f>IF(AQ22="5",BJ22,0)</f>
        <v>0</v>
      </c>
      <c r="AB22" s="21">
        <f>IF(AQ22="1",BH22,0)</f>
        <v>0</v>
      </c>
      <c r="AC22" s="21">
        <f>IF(AQ22="1",BI22,0)</f>
        <v>0</v>
      </c>
      <c r="AD22" s="21">
        <f>IF(AQ22="7",BH22,0)</f>
        <v>0</v>
      </c>
      <c r="AE22" s="21">
        <f>IF(AQ22="7",BI22,0)</f>
        <v>0</v>
      </c>
      <c r="AF22" s="21">
        <f>IF(AQ22="2",BH22,0)</f>
        <v>0</v>
      </c>
      <c r="AG22" s="21">
        <f>IF(AQ22="2",BI22,0)</f>
        <v>0</v>
      </c>
      <c r="AH22" s="21">
        <f>IF(AQ22="0",BJ22,0)</f>
        <v>0</v>
      </c>
      <c r="AI22" s="10"/>
      <c r="AJ22" s="21">
        <f>IF(AN22=0,J22,0)</f>
        <v>0</v>
      </c>
      <c r="AK22" s="21">
        <f>IF(AN22=15,J22,0)</f>
        <v>0</v>
      </c>
      <c r="AL22" s="21">
        <f>IF(AN22=21,J22,0)</f>
        <v>0</v>
      </c>
      <c r="AN22" s="21">
        <v>21</v>
      </c>
      <c r="AO22" s="21">
        <f>G22*0</f>
        <v>0</v>
      </c>
      <c r="AP22" s="21">
        <f>G22*(1-0)</f>
        <v>0</v>
      </c>
      <c r="AQ22" s="23" t="s">
        <v>51</v>
      </c>
      <c r="AV22" s="21">
        <f>AW22+AX22</f>
        <v>0</v>
      </c>
      <c r="AW22" s="21">
        <f>F22*AO22</f>
        <v>0</v>
      </c>
      <c r="AX22" s="21">
        <f>F22*AP22</f>
        <v>0</v>
      </c>
      <c r="AY22" s="23" t="s">
        <v>97</v>
      </c>
      <c r="AZ22" s="23" t="s">
        <v>57</v>
      </c>
      <c r="BA22" s="10" t="s">
        <v>58</v>
      </c>
      <c r="BC22" s="21">
        <f>AW22+AX22</f>
        <v>0</v>
      </c>
      <c r="BD22" s="21">
        <f>G22/(100-BE22)*100</f>
        <v>0</v>
      </c>
      <c r="BE22" s="21">
        <v>0</v>
      </c>
      <c r="BF22" s="21">
        <f>L22</f>
        <v>0</v>
      </c>
      <c r="BH22" s="21">
        <f>F22*AO22</f>
        <v>0</v>
      </c>
      <c r="BI22" s="21">
        <f>F22*AP22</f>
        <v>0</v>
      </c>
      <c r="BJ22" s="21">
        <f>F22*G22</f>
        <v>0</v>
      </c>
      <c r="BK22" s="21" t="s">
        <v>59</v>
      </c>
      <c r="BL22" s="21">
        <v>16</v>
      </c>
    </row>
    <row r="23" spans="1:14" ht="15">
      <c r="A23" s="2"/>
      <c r="C23" s="24" t="s">
        <v>577</v>
      </c>
      <c r="D23" s="24"/>
      <c r="F23" s="25">
        <v>630.6</v>
      </c>
      <c r="M23" s="26"/>
      <c r="N23" s="2"/>
    </row>
    <row r="24" spans="1:64" ht="15">
      <c r="A24" s="20" t="s">
        <v>78</v>
      </c>
      <c r="B24" s="3" t="s">
        <v>99</v>
      </c>
      <c r="C24" s="618" t="s">
        <v>100</v>
      </c>
      <c r="D24" s="608"/>
      <c r="E24" s="3" t="s">
        <v>81</v>
      </c>
      <c r="F24" s="21">
        <v>359</v>
      </c>
      <c r="G24" s="537"/>
      <c r="H24" s="21">
        <f>F24*AO24</f>
        <v>0</v>
      </c>
      <c r="I24" s="21">
        <f>F24*AP24</f>
        <v>0</v>
      </c>
      <c r="J24" s="21">
        <f>F24*G24</f>
        <v>0</v>
      </c>
      <c r="K24" s="21">
        <v>0</v>
      </c>
      <c r="L24" s="21">
        <f>F24*K24</f>
        <v>0</v>
      </c>
      <c r="M24" s="22" t="s">
        <v>55</v>
      </c>
      <c r="N24" s="2"/>
      <c r="Z24" s="21">
        <f>IF(AQ24="5",BJ24,0)</f>
        <v>0</v>
      </c>
      <c r="AB24" s="21">
        <f>IF(AQ24="1",BH24,0)</f>
        <v>0</v>
      </c>
      <c r="AC24" s="21">
        <f>IF(AQ24="1",BI24,0)</f>
        <v>0</v>
      </c>
      <c r="AD24" s="21">
        <f>IF(AQ24="7",BH24,0)</f>
        <v>0</v>
      </c>
      <c r="AE24" s="21">
        <f>IF(AQ24="7",BI24,0)</f>
        <v>0</v>
      </c>
      <c r="AF24" s="21">
        <f>IF(AQ24="2",BH24,0)</f>
        <v>0</v>
      </c>
      <c r="AG24" s="21">
        <f>IF(AQ24="2",BI24,0)</f>
        <v>0</v>
      </c>
      <c r="AH24" s="21">
        <f>IF(AQ24="0",BJ24,0)</f>
        <v>0</v>
      </c>
      <c r="AI24" s="10"/>
      <c r="AJ24" s="21">
        <f>IF(AN24=0,J24,0)</f>
        <v>0</v>
      </c>
      <c r="AK24" s="21">
        <f>IF(AN24=15,J24,0)</f>
        <v>0</v>
      </c>
      <c r="AL24" s="21">
        <f>IF(AN24=21,J24,0)</f>
        <v>0</v>
      </c>
      <c r="AN24" s="21">
        <v>21</v>
      </c>
      <c r="AO24" s="21">
        <f>G24*0</f>
        <v>0</v>
      </c>
      <c r="AP24" s="21">
        <f>G24*(1-0)</f>
        <v>0</v>
      </c>
      <c r="AQ24" s="23" t="s">
        <v>51</v>
      </c>
      <c r="AV24" s="21">
        <f>AW24+AX24</f>
        <v>0</v>
      </c>
      <c r="AW24" s="21">
        <f>F24*AO24</f>
        <v>0</v>
      </c>
      <c r="AX24" s="21">
        <f>F24*AP24</f>
        <v>0</v>
      </c>
      <c r="AY24" s="23" t="s">
        <v>97</v>
      </c>
      <c r="AZ24" s="23" t="s">
        <v>57</v>
      </c>
      <c r="BA24" s="10" t="s">
        <v>58</v>
      </c>
      <c r="BC24" s="21">
        <f>AW24+AX24</f>
        <v>0</v>
      </c>
      <c r="BD24" s="21">
        <f>G24/(100-BE24)*100</f>
        <v>0</v>
      </c>
      <c r="BE24" s="21">
        <v>0</v>
      </c>
      <c r="BF24" s="21">
        <f>L24</f>
        <v>0</v>
      </c>
      <c r="BH24" s="21">
        <f>F24*AO24</f>
        <v>0</v>
      </c>
      <c r="BI24" s="21">
        <f>F24*AP24</f>
        <v>0</v>
      </c>
      <c r="BJ24" s="21">
        <f>F24*G24</f>
        <v>0</v>
      </c>
      <c r="BK24" s="21" t="s">
        <v>59</v>
      </c>
      <c r="BL24" s="21">
        <v>16</v>
      </c>
    </row>
    <row r="25" spans="1:14" ht="15">
      <c r="A25" s="2"/>
      <c r="C25" s="24" t="s">
        <v>578</v>
      </c>
      <c r="D25" s="24"/>
      <c r="F25" s="25">
        <v>359</v>
      </c>
      <c r="M25" s="26"/>
      <c r="N25" s="2"/>
    </row>
    <row r="26" spans="1:47" ht="15">
      <c r="A26" s="41"/>
      <c r="B26" s="42" t="s">
        <v>102</v>
      </c>
      <c r="C26" s="637" t="s">
        <v>103</v>
      </c>
      <c r="D26" s="638"/>
      <c r="E26" s="43" t="s">
        <v>4</v>
      </c>
      <c r="F26" s="43" t="s">
        <v>4</v>
      </c>
      <c r="G26" s="43" t="s">
        <v>4</v>
      </c>
      <c r="H26" s="44">
        <f>SUM(H27:H30)</f>
        <v>0</v>
      </c>
      <c r="I26" s="44">
        <f>SUM(I27:I30)</f>
        <v>0</v>
      </c>
      <c r="J26" s="44">
        <f>SUM(J27:J30)</f>
        <v>0</v>
      </c>
      <c r="K26" s="45"/>
      <c r="L26" s="44">
        <f>SUM(L27:L30)</f>
        <v>0</v>
      </c>
      <c r="M26" s="46"/>
      <c r="N26" s="2"/>
      <c r="AI26" s="10"/>
      <c r="AS26" s="19">
        <f>SUM(AJ27:AJ30)</f>
        <v>0</v>
      </c>
      <c r="AT26" s="19">
        <f>SUM(AK27:AK30)</f>
        <v>0</v>
      </c>
      <c r="AU26" s="19">
        <f>SUM(AL27:AL30)</f>
        <v>0</v>
      </c>
    </row>
    <row r="27" spans="1:64" ht="15">
      <c r="A27" s="20" t="s">
        <v>85</v>
      </c>
      <c r="B27" s="3" t="s">
        <v>105</v>
      </c>
      <c r="C27" s="618" t="s">
        <v>106</v>
      </c>
      <c r="D27" s="608"/>
      <c r="E27" s="3" t="s">
        <v>81</v>
      </c>
      <c r="F27" s="21">
        <v>60</v>
      </c>
      <c r="G27" s="537"/>
      <c r="H27" s="21">
        <f>F27*AO27</f>
        <v>0</v>
      </c>
      <c r="I27" s="21">
        <f>F27*AP27</f>
        <v>0</v>
      </c>
      <c r="J27" s="21">
        <f>F27*G27</f>
        <v>0</v>
      </c>
      <c r="K27" s="21">
        <v>0</v>
      </c>
      <c r="L27" s="21">
        <f>F27*K27</f>
        <v>0</v>
      </c>
      <c r="M27" s="22" t="s">
        <v>55</v>
      </c>
      <c r="N27" s="2"/>
      <c r="Z27" s="21">
        <f>IF(AQ27="5",BJ27,0)</f>
        <v>0</v>
      </c>
      <c r="AB27" s="21">
        <f>IF(AQ27="1",BH27,0)</f>
        <v>0</v>
      </c>
      <c r="AC27" s="21">
        <f>IF(AQ27="1",BI27,0)</f>
        <v>0</v>
      </c>
      <c r="AD27" s="21">
        <f>IF(AQ27="7",BH27,0)</f>
        <v>0</v>
      </c>
      <c r="AE27" s="21">
        <f>IF(AQ27="7",BI27,0)</f>
        <v>0</v>
      </c>
      <c r="AF27" s="21">
        <f>IF(AQ27="2",BH27,0)</f>
        <v>0</v>
      </c>
      <c r="AG27" s="21">
        <f>IF(AQ27="2",BI27,0)</f>
        <v>0</v>
      </c>
      <c r="AH27" s="21">
        <f>IF(AQ27="0",BJ27,0)</f>
        <v>0</v>
      </c>
      <c r="AI27" s="10"/>
      <c r="AJ27" s="21">
        <f>IF(AN27=0,J27,0)</f>
        <v>0</v>
      </c>
      <c r="AK27" s="21">
        <f>IF(AN27=15,J27,0)</f>
        <v>0</v>
      </c>
      <c r="AL27" s="21">
        <f>IF(AN27=21,J27,0)</f>
        <v>0</v>
      </c>
      <c r="AN27" s="21">
        <v>21</v>
      </c>
      <c r="AO27" s="21">
        <f>G27*0</f>
        <v>0</v>
      </c>
      <c r="AP27" s="21">
        <f>G27*(1-0)</f>
        <v>0</v>
      </c>
      <c r="AQ27" s="23" t="s">
        <v>51</v>
      </c>
      <c r="AV27" s="21">
        <f>AW27+AX27</f>
        <v>0</v>
      </c>
      <c r="AW27" s="21">
        <f>F27*AO27</f>
        <v>0</v>
      </c>
      <c r="AX27" s="21">
        <f>F27*AP27</f>
        <v>0</v>
      </c>
      <c r="AY27" s="23" t="s">
        <v>107</v>
      </c>
      <c r="AZ27" s="23" t="s">
        <v>57</v>
      </c>
      <c r="BA27" s="10" t="s">
        <v>58</v>
      </c>
      <c r="BC27" s="21">
        <f>AW27+AX27</f>
        <v>0</v>
      </c>
      <c r="BD27" s="21">
        <f>G27/(100-BE27)*100</f>
        <v>0</v>
      </c>
      <c r="BE27" s="21">
        <v>0</v>
      </c>
      <c r="BF27" s="21">
        <f>L27</f>
        <v>0</v>
      </c>
      <c r="BH27" s="21">
        <f>F27*AO27</f>
        <v>0</v>
      </c>
      <c r="BI27" s="21">
        <f>F27*AP27</f>
        <v>0</v>
      </c>
      <c r="BJ27" s="21">
        <f>F27*G27</f>
        <v>0</v>
      </c>
      <c r="BK27" s="21" t="s">
        <v>59</v>
      </c>
      <c r="BL27" s="21">
        <v>17</v>
      </c>
    </row>
    <row r="28" spans="1:14" ht="15">
      <c r="A28" s="2"/>
      <c r="C28" s="24" t="s">
        <v>348</v>
      </c>
      <c r="D28" s="24"/>
      <c r="F28" s="25">
        <v>60</v>
      </c>
      <c r="M28" s="26"/>
      <c r="N28" s="2"/>
    </row>
    <row r="29" spans="1:14" ht="15">
      <c r="A29" s="2"/>
      <c r="B29" s="27" t="s">
        <v>61</v>
      </c>
      <c r="C29" s="634" t="s">
        <v>109</v>
      </c>
      <c r="D29" s="635"/>
      <c r="E29" s="635"/>
      <c r="F29" s="635"/>
      <c r="G29" s="635"/>
      <c r="H29" s="635"/>
      <c r="I29" s="635"/>
      <c r="J29" s="635"/>
      <c r="K29" s="635"/>
      <c r="L29" s="635"/>
      <c r="M29" s="636"/>
      <c r="N29" s="2"/>
    </row>
    <row r="30" spans="1:64" ht="15">
      <c r="A30" s="20" t="s">
        <v>89</v>
      </c>
      <c r="B30" s="3" t="s">
        <v>110</v>
      </c>
      <c r="C30" s="618" t="s">
        <v>111</v>
      </c>
      <c r="D30" s="608"/>
      <c r="E30" s="3" t="s">
        <v>81</v>
      </c>
      <c r="F30" s="21">
        <v>85</v>
      </c>
      <c r="G30" s="537"/>
      <c r="H30" s="21">
        <f>F30*AO30</f>
        <v>0</v>
      </c>
      <c r="I30" s="21">
        <f>F30*AP30</f>
        <v>0</v>
      </c>
      <c r="J30" s="21">
        <f>F30*G30</f>
        <v>0</v>
      </c>
      <c r="K30" s="21">
        <v>0</v>
      </c>
      <c r="L30" s="21">
        <f>F30*K30</f>
        <v>0</v>
      </c>
      <c r="M30" s="22" t="s">
        <v>55</v>
      </c>
      <c r="N30" s="2"/>
      <c r="Z30" s="21">
        <f>IF(AQ30="5",BJ30,0)</f>
        <v>0</v>
      </c>
      <c r="AB30" s="21">
        <f>IF(AQ30="1",BH30,0)</f>
        <v>0</v>
      </c>
      <c r="AC30" s="21">
        <f>IF(AQ30="1",BI30,0)</f>
        <v>0</v>
      </c>
      <c r="AD30" s="21">
        <f>IF(AQ30="7",BH30,0)</f>
        <v>0</v>
      </c>
      <c r="AE30" s="21">
        <f>IF(AQ30="7",BI30,0)</f>
        <v>0</v>
      </c>
      <c r="AF30" s="21">
        <f>IF(AQ30="2",BH30,0)</f>
        <v>0</v>
      </c>
      <c r="AG30" s="21">
        <f>IF(AQ30="2",BI30,0)</f>
        <v>0</v>
      </c>
      <c r="AH30" s="21">
        <f>IF(AQ30="0",BJ30,0)</f>
        <v>0</v>
      </c>
      <c r="AI30" s="10"/>
      <c r="AJ30" s="21">
        <f>IF(AN30=0,J30,0)</f>
        <v>0</v>
      </c>
      <c r="AK30" s="21">
        <f>IF(AN30=15,J30,0)</f>
        <v>0</v>
      </c>
      <c r="AL30" s="21">
        <f>IF(AN30=21,J30,0)</f>
        <v>0</v>
      </c>
      <c r="AN30" s="21">
        <v>21</v>
      </c>
      <c r="AO30" s="21">
        <f>G30*0</f>
        <v>0</v>
      </c>
      <c r="AP30" s="21">
        <f>G30*(1-0)</f>
        <v>0</v>
      </c>
      <c r="AQ30" s="23" t="s">
        <v>51</v>
      </c>
      <c r="AV30" s="21">
        <f>AW30+AX30</f>
        <v>0</v>
      </c>
      <c r="AW30" s="21">
        <f>F30*AO30</f>
        <v>0</v>
      </c>
      <c r="AX30" s="21">
        <f>F30*AP30</f>
        <v>0</v>
      </c>
      <c r="AY30" s="23" t="s">
        <v>107</v>
      </c>
      <c r="AZ30" s="23" t="s">
        <v>57</v>
      </c>
      <c r="BA30" s="10" t="s">
        <v>58</v>
      </c>
      <c r="BC30" s="21">
        <f>AW30+AX30</f>
        <v>0</v>
      </c>
      <c r="BD30" s="21">
        <f>G30/(100-BE30)*100</f>
        <v>0</v>
      </c>
      <c r="BE30" s="21">
        <v>0</v>
      </c>
      <c r="BF30" s="21">
        <f>L30</f>
        <v>0</v>
      </c>
      <c r="BH30" s="21">
        <f>F30*AO30</f>
        <v>0</v>
      </c>
      <c r="BI30" s="21">
        <f>F30*AP30</f>
        <v>0</v>
      </c>
      <c r="BJ30" s="21">
        <f>F30*G30</f>
        <v>0</v>
      </c>
      <c r="BK30" s="21" t="s">
        <v>59</v>
      </c>
      <c r="BL30" s="21">
        <v>17</v>
      </c>
    </row>
    <row r="31" spans="1:14" ht="15">
      <c r="A31" s="2"/>
      <c r="C31" s="24" t="s">
        <v>579</v>
      </c>
      <c r="D31" s="24"/>
      <c r="F31" s="25">
        <v>85</v>
      </c>
      <c r="M31" s="26"/>
      <c r="N31" s="2"/>
    </row>
    <row r="32" spans="1:14" ht="15">
      <c r="A32" s="2"/>
      <c r="B32" s="27" t="s">
        <v>61</v>
      </c>
      <c r="C32" s="634" t="s">
        <v>113</v>
      </c>
      <c r="D32" s="635"/>
      <c r="E32" s="635"/>
      <c r="F32" s="635"/>
      <c r="G32" s="635"/>
      <c r="H32" s="635"/>
      <c r="I32" s="635"/>
      <c r="J32" s="635"/>
      <c r="K32" s="635"/>
      <c r="L32" s="635"/>
      <c r="M32" s="636"/>
      <c r="N32" s="2"/>
    </row>
    <row r="33" spans="1:47" ht="15">
      <c r="A33" s="41"/>
      <c r="B33" s="42" t="s">
        <v>114</v>
      </c>
      <c r="C33" s="637" t="s">
        <v>115</v>
      </c>
      <c r="D33" s="638"/>
      <c r="E33" s="43" t="s">
        <v>4</v>
      </c>
      <c r="F33" s="43" t="s">
        <v>4</v>
      </c>
      <c r="G33" s="43" t="s">
        <v>4</v>
      </c>
      <c r="H33" s="44">
        <f>SUM(H34:H34)</f>
        <v>0</v>
      </c>
      <c r="I33" s="44">
        <f>SUM(I34:I34)</f>
        <v>0</v>
      </c>
      <c r="J33" s="44">
        <f>SUM(J34:J34)</f>
        <v>0</v>
      </c>
      <c r="K33" s="45"/>
      <c r="L33" s="44">
        <f>SUM(L34:L34)</f>
        <v>0</v>
      </c>
      <c r="M33" s="46"/>
      <c r="N33" s="2"/>
      <c r="AI33" s="10"/>
      <c r="AS33" s="19">
        <f>SUM(AJ34:AJ34)</f>
        <v>0</v>
      </c>
      <c r="AT33" s="19">
        <f>SUM(AK34:AK34)</f>
        <v>0</v>
      </c>
      <c r="AU33" s="19">
        <f>SUM(AL34:AL34)</f>
        <v>0</v>
      </c>
    </row>
    <row r="34" spans="1:64" ht="15">
      <c r="A34" s="20" t="s">
        <v>94</v>
      </c>
      <c r="B34" s="3" t="s">
        <v>116</v>
      </c>
      <c r="C34" s="618" t="s">
        <v>117</v>
      </c>
      <c r="D34" s="608"/>
      <c r="E34" s="3" t="s">
        <v>54</v>
      </c>
      <c r="F34" s="21">
        <v>1476.5</v>
      </c>
      <c r="G34" s="537"/>
      <c r="H34" s="21">
        <f>F34*AO34</f>
        <v>0</v>
      </c>
      <c r="I34" s="21">
        <f>F34*AP34</f>
        <v>0</v>
      </c>
      <c r="J34" s="21">
        <f>F34*G34</f>
        <v>0</v>
      </c>
      <c r="K34" s="21">
        <v>0</v>
      </c>
      <c r="L34" s="21">
        <f>F34*K34</f>
        <v>0</v>
      </c>
      <c r="M34" s="22" t="s">
        <v>55</v>
      </c>
      <c r="N34" s="2"/>
      <c r="Z34" s="21">
        <f>IF(AQ34="5",BJ34,0)</f>
        <v>0</v>
      </c>
      <c r="AB34" s="21">
        <f>IF(AQ34="1",BH34,0)</f>
        <v>0</v>
      </c>
      <c r="AC34" s="21">
        <f>IF(AQ34="1",BI34,0)</f>
        <v>0</v>
      </c>
      <c r="AD34" s="21">
        <f>IF(AQ34="7",BH34,0)</f>
        <v>0</v>
      </c>
      <c r="AE34" s="21">
        <f>IF(AQ34="7",BI34,0)</f>
        <v>0</v>
      </c>
      <c r="AF34" s="21">
        <f>IF(AQ34="2",BH34,0)</f>
        <v>0</v>
      </c>
      <c r="AG34" s="21">
        <f>IF(AQ34="2",BI34,0)</f>
        <v>0</v>
      </c>
      <c r="AH34" s="21">
        <f>IF(AQ34="0",BJ34,0)</f>
        <v>0</v>
      </c>
      <c r="AI34" s="10"/>
      <c r="AJ34" s="21">
        <f>IF(AN34=0,J34,0)</f>
        <v>0</v>
      </c>
      <c r="AK34" s="21">
        <f>IF(AN34=15,J34,0)</f>
        <v>0</v>
      </c>
      <c r="AL34" s="21">
        <f>IF(AN34=21,J34,0)</f>
        <v>0</v>
      </c>
      <c r="AN34" s="21">
        <v>21</v>
      </c>
      <c r="AO34" s="21">
        <f>G34*0</f>
        <v>0</v>
      </c>
      <c r="AP34" s="21">
        <f>G34*(1-0)</f>
        <v>0</v>
      </c>
      <c r="AQ34" s="23" t="s">
        <v>51</v>
      </c>
      <c r="AV34" s="21">
        <f>AW34+AX34</f>
        <v>0</v>
      </c>
      <c r="AW34" s="21">
        <f>F34*AO34</f>
        <v>0</v>
      </c>
      <c r="AX34" s="21">
        <f>F34*AP34</f>
        <v>0</v>
      </c>
      <c r="AY34" s="23" t="s">
        <v>118</v>
      </c>
      <c r="AZ34" s="23" t="s">
        <v>57</v>
      </c>
      <c r="BA34" s="10" t="s">
        <v>58</v>
      </c>
      <c r="BC34" s="21">
        <f>AW34+AX34</f>
        <v>0</v>
      </c>
      <c r="BD34" s="21">
        <f>G34/(100-BE34)*100</f>
        <v>0</v>
      </c>
      <c r="BE34" s="21">
        <v>0</v>
      </c>
      <c r="BF34" s="21">
        <f>L34</f>
        <v>0</v>
      </c>
      <c r="BH34" s="21">
        <f>F34*AO34</f>
        <v>0</v>
      </c>
      <c r="BI34" s="21">
        <f>F34*AP34</f>
        <v>0</v>
      </c>
      <c r="BJ34" s="21">
        <f>F34*G34</f>
        <v>0</v>
      </c>
      <c r="BK34" s="21" t="s">
        <v>59</v>
      </c>
      <c r="BL34" s="21">
        <v>18</v>
      </c>
    </row>
    <row r="35" spans="1:14" ht="15">
      <c r="A35" s="2"/>
      <c r="C35" s="24" t="s">
        <v>580</v>
      </c>
      <c r="D35" s="24"/>
      <c r="F35" s="25">
        <v>1476.5</v>
      </c>
      <c r="M35" s="26"/>
      <c r="N35" s="2"/>
    </row>
    <row r="36" spans="1:14" ht="15">
      <c r="A36" s="2"/>
      <c r="B36" s="27" t="s">
        <v>61</v>
      </c>
      <c r="C36" s="634" t="s">
        <v>120</v>
      </c>
      <c r="D36" s="635"/>
      <c r="E36" s="635"/>
      <c r="F36" s="635"/>
      <c r="G36" s="635"/>
      <c r="H36" s="635"/>
      <c r="I36" s="635"/>
      <c r="J36" s="635"/>
      <c r="K36" s="635"/>
      <c r="L36" s="635"/>
      <c r="M36" s="636"/>
      <c r="N36" s="2"/>
    </row>
    <row r="37" spans="1:47" ht="15">
      <c r="A37" s="41"/>
      <c r="B37" s="42" t="s">
        <v>121</v>
      </c>
      <c r="C37" s="637" t="s">
        <v>122</v>
      </c>
      <c r="D37" s="638"/>
      <c r="E37" s="43" t="s">
        <v>4</v>
      </c>
      <c r="F37" s="43" t="s">
        <v>4</v>
      </c>
      <c r="G37" s="43" t="s">
        <v>4</v>
      </c>
      <c r="H37" s="44">
        <f>SUM(H38:H40)</f>
        <v>0</v>
      </c>
      <c r="I37" s="44">
        <f>SUM(I38:I40)</f>
        <v>0</v>
      </c>
      <c r="J37" s="44">
        <f>SUM(J38:J40)</f>
        <v>0</v>
      </c>
      <c r="K37" s="45"/>
      <c r="L37" s="44">
        <f>SUM(L38:L40)</f>
        <v>0</v>
      </c>
      <c r="M37" s="46"/>
      <c r="N37" s="2"/>
      <c r="AI37" s="10"/>
      <c r="AS37" s="19">
        <f>SUM(AJ38:AJ40)</f>
        <v>0</v>
      </c>
      <c r="AT37" s="19">
        <f>SUM(AK38:AK40)</f>
        <v>0</v>
      </c>
      <c r="AU37" s="19">
        <f>SUM(AL38:AL40)</f>
        <v>0</v>
      </c>
    </row>
    <row r="38" spans="1:64" ht="15">
      <c r="A38" s="20" t="s">
        <v>98</v>
      </c>
      <c r="B38" s="3" t="s">
        <v>129</v>
      </c>
      <c r="C38" s="618" t="s">
        <v>130</v>
      </c>
      <c r="D38" s="608"/>
      <c r="E38" s="3" t="s">
        <v>125</v>
      </c>
      <c r="F38" s="21">
        <v>1008.96</v>
      </c>
      <c r="G38" s="537"/>
      <c r="H38" s="21">
        <f>F38*AO38</f>
        <v>0</v>
      </c>
      <c r="I38" s="21">
        <f>F38*AP38</f>
        <v>0</v>
      </c>
      <c r="J38" s="21">
        <f>F38*G38</f>
        <v>0</v>
      </c>
      <c r="K38" s="21">
        <v>0</v>
      </c>
      <c r="L38" s="21">
        <f>F38*K38</f>
        <v>0</v>
      </c>
      <c r="M38" s="22" t="s">
        <v>55</v>
      </c>
      <c r="N38" s="2"/>
      <c r="Z38" s="21">
        <f>IF(AQ38="5",BJ38,0)</f>
        <v>0</v>
      </c>
      <c r="AB38" s="21">
        <f>IF(AQ38="1",BH38,0)</f>
        <v>0</v>
      </c>
      <c r="AC38" s="21">
        <f>IF(AQ38="1",BI38,0)</f>
        <v>0</v>
      </c>
      <c r="AD38" s="21">
        <f>IF(AQ38="7",BH38,0)</f>
        <v>0</v>
      </c>
      <c r="AE38" s="21">
        <f>IF(AQ38="7",BI38,0)</f>
        <v>0</v>
      </c>
      <c r="AF38" s="21">
        <f>IF(AQ38="2",BH38,0)</f>
        <v>0</v>
      </c>
      <c r="AG38" s="21">
        <f>IF(AQ38="2",BI38,0)</f>
        <v>0</v>
      </c>
      <c r="AH38" s="21">
        <f>IF(AQ38="0",BJ38,0)</f>
        <v>0</v>
      </c>
      <c r="AI38" s="10"/>
      <c r="AJ38" s="21">
        <f>IF(AN38=0,J38,0)</f>
        <v>0</v>
      </c>
      <c r="AK38" s="21">
        <f>IF(AN38=15,J38,0)</f>
        <v>0</v>
      </c>
      <c r="AL38" s="21">
        <f>IF(AN38=21,J38,0)</f>
        <v>0</v>
      </c>
      <c r="AN38" s="21">
        <v>21</v>
      </c>
      <c r="AO38" s="21">
        <f>G38*0</f>
        <v>0</v>
      </c>
      <c r="AP38" s="21">
        <f>G38*(1-0)</f>
        <v>0</v>
      </c>
      <c r="AQ38" s="23" t="s">
        <v>51</v>
      </c>
      <c r="AV38" s="21">
        <f>AW38+AX38</f>
        <v>0</v>
      </c>
      <c r="AW38" s="21">
        <f>F38*AO38</f>
        <v>0</v>
      </c>
      <c r="AX38" s="21">
        <f>F38*AP38</f>
        <v>0</v>
      </c>
      <c r="AY38" s="23" t="s">
        <v>126</v>
      </c>
      <c r="AZ38" s="23" t="s">
        <v>57</v>
      </c>
      <c r="BA38" s="10" t="s">
        <v>58</v>
      </c>
      <c r="BC38" s="21">
        <f>AW38+AX38</f>
        <v>0</v>
      </c>
      <c r="BD38" s="21">
        <f>G38/(100-BE38)*100</f>
        <v>0</v>
      </c>
      <c r="BE38" s="21">
        <v>0</v>
      </c>
      <c r="BF38" s="21">
        <f>L38</f>
        <v>0</v>
      </c>
      <c r="BH38" s="21">
        <f>F38*AO38</f>
        <v>0</v>
      </c>
      <c r="BI38" s="21">
        <f>F38*AP38</f>
        <v>0</v>
      </c>
      <c r="BJ38" s="21">
        <f>F38*G38</f>
        <v>0</v>
      </c>
      <c r="BK38" s="21" t="s">
        <v>59</v>
      </c>
      <c r="BL38" s="21">
        <v>19</v>
      </c>
    </row>
    <row r="39" spans="1:14" ht="15">
      <c r="A39" s="2"/>
      <c r="C39" s="24" t="s">
        <v>581</v>
      </c>
      <c r="D39" s="24"/>
      <c r="F39" s="25">
        <v>1008.96</v>
      </c>
      <c r="M39" s="26"/>
      <c r="N39" s="2"/>
    </row>
    <row r="40" spans="1:64" ht="15">
      <c r="A40" s="20" t="s">
        <v>104</v>
      </c>
      <c r="B40" s="3" t="s">
        <v>123</v>
      </c>
      <c r="C40" s="618" t="s">
        <v>124</v>
      </c>
      <c r="D40" s="608"/>
      <c r="E40" s="3" t="s">
        <v>125</v>
      </c>
      <c r="F40" s="21">
        <v>574.4</v>
      </c>
      <c r="G40" s="537"/>
      <c r="H40" s="21">
        <f>F40*AO40</f>
        <v>0</v>
      </c>
      <c r="I40" s="21">
        <f>F40*AP40</f>
        <v>0</v>
      </c>
      <c r="J40" s="21">
        <f>F40*G40</f>
        <v>0</v>
      </c>
      <c r="K40" s="21">
        <v>0</v>
      </c>
      <c r="L40" s="21">
        <f>F40*K40</f>
        <v>0</v>
      </c>
      <c r="M40" s="539" t="s">
        <v>2130</v>
      </c>
      <c r="N40" s="2"/>
      <c r="Z40" s="21">
        <f>IF(AQ40="5",BJ40,0)</f>
        <v>0</v>
      </c>
      <c r="AB40" s="21">
        <f>IF(AQ40="1",BH40,0)</f>
        <v>0</v>
      </c>
      <c r="AC40" s="21">
        <f>IF(AQ40="1",BI40,0)</f>
        <v>0</v>
      </c>
      <c r="AD40" s="21">
        <f>IF(AQ40="7",BH40,0)</f>
        <v>0</v>
      </c>
      <c r="AE40" s="21">
        <f>IF(AQ40="7",BI40,0)</f>
        <v>0</v>
      </c>
      <c r="AF40" s="21">
        <f>IF(AQ40="2",BH40,0)</f>
        <v>0</v>
      </c>
      <c r="AG40" s="21">
        <f>IF(AQ40="2",BI40,0)</f>
        <v>0</v>
      </c>
      <c r="AH40" s="21">
        <f>IF(AQ40="0",BJ40,0)</f>
        <v>0</v>
      </c>
      <c r="AI40" s="10"/>
      <c r="AJ40" s="21">
        <f>IF(AN40=0,J40,0)</f>
        <v>0</v>
      </c>
      <c r="AK40" s="21">
        <f>IF(AN40=15,J40,0)</f>
        <v>0</v>
      </c>
      <c r="AL40" s="21">
        <f>IF(AN40=21,J40,0)</f>
        <v>0</v>
      </c>
      <c r="AN40" s="21">
        <v>21</v>
      </c>
      <c r="AO40" s="21">
        <f>G40*0</f>
        <v>0</v>
      </c>
      <c r="AP40" s="21">
        <f>G40*(1-0)</f>
        <v>0</v>
      </c>
      <c r="AQ40" s="23" t="s">
        <v>51</v>
      </c>
      <c r="AV40" s="21">
        <f>AW40+AX40</f>
        <v>0</v>
      </c>
      <c r="AW40" s="21">
        <f>F40*AO40</f>
        <v>0</v>
      </c>
      <c r="AX40" s="21">
        <f>F40*AP40</f>
        <v>0</v>
      </c>
      <c r="AY40" s="23" t="s">
        <v>126</v>
      </c>
      <c r="AZ40" s="23" t="s">
        <v>57</v>
      </c>
      <c r="BA40" s="10" t="s">
        <v>58</v>
      </c>
      <c r="BC40" s="21">
        <f>AW40+AX40</f>
        <v>0</v>
      </c>
      <c r="BD40" s="21">
        <f>G40/(100-BE40)*100</f>
        <v>0</v>
      </c>
      <c r="BE40" s="21">
        <v>0</v>
      </c>
      <c r="BF40" s="21">
        <f>L40</f>
        <v>0</v>
      </c>
      <c r="BH40" s="21">
        <f>F40*AO40</f>
        <v>0</v>
      </c>
      <c r="BI40" s="21">
        <f>F40*AP40</f>
        <v>0</v>
      </c>
      <c r="BJ40" s="21">
        <f>F40*G40</f>
        <v>0</v>
      </c>
      <c r="BK40" s="21" t="s">
        <v>59</v>
      </c>
      <c r="BL40" s="21">
        <v>19</v>
      </c>
    </row>
    <row r="41" spans="1:14" ht="15">
      <c r="A41" s="2"/>
      <c r="C41" s="24" t="s">
        <v>582</v>
      </c>
      <c r="D41" s="24"/>
      <c r="F41" s="25">
        <v>574.4</v>
      </c>
      <c r="M41" s="26"/>
      <c r="N41" s="2"/>
    </row>
    <row r="42" spans="1:47" ht="15">
      <c r="A42" s="41"/>
      <c r="B42" s="42" t="s">
        <v>161</v>
      </c>
      <c r="C42" s="637" t="s">
        <v>456</v>
      </c>
      <c r="D42" s="638"/>
      <c r="E42" s="43" t="s">
        <v>4</v>
      </c>
      <c r="F42" s="43" t="s">
        <v>4</v>
      </c>
      <c r="G42" s="43" t="s">
        <v>4</v>
      </c>
      <c r="H42" s="44">
        <f>SUM(H43:H47)</f>
        <v>0</v>
      </c>
      <c r="I42" s="44">
        <f>SUM(I43:I47)</f>
        <v>0</v>
      </c>
      <c r="J42" s="44">
        <f>SUM(J43:J47)</f>
        <v>0</v>
      </c>
      <c r="K42" s="45"/>
      <c r="L42" s="44">
        <f>SUM(L43:L47)</f>
        <v>20.052235200000002</v>
      </c>
      <c r="M42" s="46"/>
      <c r="N42" s="2"/>
      <c r="AI42" s="10"/>
      <c r="AS42" s="19">
        <f>SUM(AJ43:AJ47)</f>
        <v>0</v>
      </c>
      <c r="AT42" s="19">
        <f>SUM(AK43:AK47)</f>
        <v>0</v>
      </c>
      <c r="AU42" s="19">
        <f>SUM(AL43:AL47)</f>
        <v>0</v>
      </c>
    </row>
    <row r="43" spans="1:64" ht="15">
      <c r="A43" s="20" t="s">
        <v>49</v>
      </c>
      <c r="B43" s="3" t="s">
        <v>457</v>
      </c>
      <c r="C43" s="618" t="s">
        <v>458</v>
      </c>
      <c r="D43" s="608"/>
      <c r="E43" s="3" t="s">
        <v>74</v>
      </c>
      <c r="F43" s="21">
        <v>149</v>
      </c>
      <c r="G43" s="537"/>
      <c r="H43" s="21">
        <f>F43*AO43</f>
        <v>0</v>
      </c>
      <c r="I43" s="21">
        <f>F43*AP43</f>
        <v>0</v>
      </c>
      <c r="J43" s="21">
        <f>F43*G43</f>
        <v>0</v>
      </c>
      <c r="K43" s="21">
        <v>0</v>
      </c>
      <c r="L43" s="21">
        <f>F43*K43</f>
        <v>0</v>
      </c>
      <c r="M43" s="22" t="s">
        <v>55</v>
      </c>
      <c r="N43" s="2"/>
      <c r="Z43" s="21">
        <f>IF(AQ43="5",BJ43,0)</f>
        <v>0</v>
      </c>
      <c r="AB43" s="21">
        <f>IF(AQ43="1",BH43,0)</f>
        <v>0</v>
      </c>
      <c r="AC43" s="21">
        <f>IF(AQ43="1",BI43,0)</f>
        <v>0</v>
      </c>
      <c r="AD43" s="21">
        <f>IF(AQ43="7",BH43,0)</f>
        <v>0</v>
      </c>
      <c r="AE43" s="21">
        <f>IF(AQ43="7",BI43,0)</f>
        <v>0</v>
      </c>
      <c r="AF43" s="21">
        <f>IF(AQ43="2",BH43,0)</f>
        <v>0</v>
      </c>
      <c r="AG43" s="21">
        <f>IF(AQ43="2",BI43,0)</f>
        <v>0</v>
      </c>
      <c r="AH43" s="21">
        <f>IF(AQ43="0",BJ43,0)</f>
        <v>0</v>
      </c>
      <c r="AI43" s="10"/>
      <c r="AJ43" s="21">
        <f>IF(AN43=0,J43,0)</f>
        <v>0</v>
      </c>
      <c r="AK43" s="21">
        <f>IF(AN43=15,J43,0)</f>
        <v>0</v>
      </c>
      <c r="AL43" s="21">
        <f>IF(AN43=21,J43,0)</f>
        <v>0</v>
      </c>
      <c r="AN43" s="21">
        <v>21</v>
      </c>
      <c r="AO43" s="21">
        <f>G43*0</f>
        <v>0</v>
      </c>
      <c r="AP43" s="21">
        <f>G43*(1-0)</f>
        <v>0</v>
      </c>
      <c r="AQ43" s="23" t="s">
        <v>51</v>
      </c>
      <c r="AV43" s="21">
        <f>AW43+AX43</f>
        <v>0</v>
      </c>
      <c r="AW43" s="21">
        <f>F43*AO43</f>
        <v>0</v>
      </c>
      <c r="AX43" s="21">
        <f>F43*AP43</f>
        <v>0</v>
      </c>
      <c r="AY43" s="23" t="s">
        <v>459</v>
      </c>
      <c r="AZ43" s="23" t="s">
        <v>460</v>
      </c>
      <c r="BA43" s="10" t="s">
        <v>58</v>
      </c>
      <c r="BC43" s="21">
        <f>AW43+AX43</f>
        <v>0</v>
      </c>
      <c r="BD43" s="21">
        <f>G43/(100-BE43)*100</f>
        <v>0</v>
      </c>
      <c r="BE43" s="21">
        <v>0</v>
      </c>
      <c r="BF43" s="21">
        <f>L43</f>
        <v>0</v>
      </c>
      <c r="BH43" s="21">
        <f>F43*AO43</f>
        <v>0</v>
      </c>
      <c r="BI43" s="21">
        <f>F43*AP43</f>
        <v>0</v>
      </c>
      <c r="BJ43" s="21">
        <f>F43*G43</f>
        <v>0</v>
      </c>
      <c r="BK43" s="21" t="s">
        <v>59</v>
      </c>
      <c r="BL43" s="21">
        <v>21</v>
      </c>
    </row>
    <row r="44" spans="1:14" ht="15">
      <c r="A44" s="2"/>
      <c r="C44" s="24" t="s">
        <v>583</v>
      </c>
      <c r="D44" s="24"/>
      <c r="F44" s="25">
        <v>149</v>
      </c>
      <c r="M44" s="26"/>
      <c r="N44" s="2"/>
    </row>
    <row r="45" spans="1:64" ht="15">
      <c r="A45" s="20" t="s">
        <v>76</v>
      </c>
      <c r="B45" s="3" t="s">
        <v>461</v>
      </c>
      <c r="C45" s="618" t="s">
        <v>462</v>
      </c>
      <c r="D45" s="608"/>
      <c r="E45" s="3" t="s">
        <v>81</v>
      </c>
      <c r="F45" s="21">
        <v>12</v>
      </c>
      <c r="G45" s="537"/>
      <c r="H45" s="21">
        <f>F45*AO45</f>
        <v>0</v>
      </c>
      <c r="I45" s="21">
        <f>F45*AP45</f>
        <v>0</v>
      </c>
      <c r="J45" s="21">
        <f>F45*G45</f>
        <v>0</v>
      </c>
      <c r="K45" s="21">
        <v>1.665</v>
      </c>
      <c r="L45" s="21">
        <f>F45*K45</f>
        <v>19.98</v>
      </c>
      <c r="M45" s="22" t="s">
        <v>55</v>
      </c>
      <c r="N45" s="2"/>
      <c r="Z45" s="21">
        <f>IF(AQ45="5",BJ45,0)</f>
        <v>0</v>
      </c>
      <c r="AB45" s="21">
        <f>IF(AQ45="1",BH45,0)</f>
        <v>0</v>
      </c>
      <c r="AC45" s="21">
        <f>IF(AQ45="1",BI45,0)</f>
        <v>0</v>
      </c>
      <c r="AD45" s="21">
        <f>IF(AQ45="7",BH45,0)</f>
        <v>0</v>
      </c>
      <c r="AE45" s="21">
        <f>IF(AQ45="7",BI45,0)</f>
        <v>0</v>
      </c>
      <c r="AF45" s="21">
        <f>IF(AQ45="2",BH45,0)</f>
        <v>0</v>
      </c>
      <c r="AG45" s="21">
        <f>IF(AQ45="2",BI45,0)</f>
        <v>0</v>
      </c>
      <c r="AH45" s="21">
        <f>IF(AQ45="0",BJ45,0)</f>
        <v>0</v>
      </c>
      <c r="AI45" s="10"/>
      <c r="AJ45" s="21">
        <f>IF(AN45=0,J45,0)</f>
        <v>0</v>
      </c>
      <c r="AK45" s="21">
        <f>IF(AN45=15,J45,0)</f>
        <v>0</v>
      </c>
      <c r="AL45" s="21">
        <f>IF(AN45=21,J45,0)</f>
        <v>0</v>
      </c>
      <c r="AN45" s="21">
        <v>21</v>
      </c>
      <c r="AO45" s="21">
        <f>G45*0.697922105043333</f>
        <v>0</v>
      </c>
      <c r="AP45" s="21">
        <f>G45*(1-0.697922105043333)</f>
        <v>0</v>
      </c>
      <c r="AQ45" s="23" t="s">
        <v>51</v>
      </c>
      <c r="AV45" s="21">
        <f>AW45+AX45</f>
        <v>0</v>
      </c>
      <c r="AW45" s="21">
        <f>F45*AO45</f>
        <v>0</v>
      </c>
      <c r="AX45" s="21">
        <f>F45*AP45</f>
        <v>0</v>
      </c>
      <c r="AY45" s="23" t="s">
        <v>459</v>
      </c>
      <c r="AZ45" s="23" t="s">
        <v>460</v>
      </c>
      <c r="BA45" s="10" t="s">
        <v>58</v>
      </c>
      <c r="BC45" s="21">
        <f>AW45+AX45</f>
        <v>0</v>
      </c>
      <c r="BD45" s="21">
        <f>G45/(100-BE45)*100</f>
        <v>0</v>
      </c>
      <c r="BE45" s="21">
        <v>0</v>
      </c>
      <c r="BF45" s="21">
        <f>L45</f>
        <v>19.98</v>
      </c>
      <c r="BH45" s="21">
        <f>F45*AO45</f>
        <v>0</v>
      </c>
      <c r="BI45" s="21">
        <f>F45*AP45</f>
        <v>0</v>
      </c>
      <c r="BJ45" s="21">
        <f>F45*G45</f>
        <v>0</v>
      </c>
      <c r="BK45" s="21" t="s">
        <v>59</v>
      </c>
      <c r="BL45" s="21">
        <v>21</v>
      </c>
    </row>
    <row r="46" spans="1:14" ht="15">
      <c r="A46" s="2"/>
      <c r="C46" s="24" t="s">
        <v>76</v>
      </c>
      <c r="D46" s="24"/>
      <c r="F46" s="25">
        <v>12</v>
      </c>
      <c r="M46" s="26"/>
      <c r="N46" s="2"/>
    </row>
    <row r="47" spans="1:64" ht="15">
      <c r="A47" s="20" t="s">
        <v>75</v>
      </c>
      <c r="B47" s="3" t="s">
        <v>464</v>
      </c>
      <c r="C47" s="618" t="s">
        <v>465</v>
      </c>
      <c r="D47" s="608"/>
      <c r="E47" s="3" t="s">
        <v>74</v>
      </c>
      <c r="F47" s="21">
        <v>150.49</v>
      </c>
      <c r="G47" s="537"/>
      <c r="H47" s="21">
        <f>F47*AO47</f>
        <v>0</v>
      </c>
      <c r="I47" s="21">
        <f>F47*AP47</f>
        <v>0</v>
      </c>
      <c r="J47" s="21">
        <f>F47*G47</f>
        <v>0</v>
      </c>
      <c r="K47" s="21">
        <v>0.00048</v>
      </c>
      <c r="L47" s="21">
        <f>F47*K47</f>
        <v>0.0722352</v>
      </c>
      <c r="M47" s="22" t="s">
        <v>55</v>
      </c>
      <c r="N47" s="2"/>
      <c r="Z47" s="21">
        <f>IF(AQ47="5",BJ47,0)</f>
        <v>0</v>
      </c>
      <c r="AB47" s="21">
        <f>IF(AQ47="1",BH47,0)</f>
        <v>0</v>
      </c>
      <c r="AC47" s="21">
        <f>IF(AQ47="1",BI47,0)</f>
        <v>0</v>
      </c>
      <c r="AD47" s="21">
        <f>IF(AQ47="7",BH47,0)</f>
        <v>0</v>
      </c>
      <c r="AE47" s="21">
        <f>IF(AQ47="7",BI47,0)</f>
        <v>0</v>
      </c>
      <c r="AF47" s="21">
        <f>IF(AQ47="2",BH47,0)</f>
        <v>0</v>
      </c>
      <c r="AG47" s="21">
        <f>IF(AQ47="2",BI47,0)</f>
        <v>0</v>
      </c>
      <c r="AH47" s="21">
        <f>IF(AQ47="0",BJ47,0)</f>
        <v>0</v>
      </c>
      <c r="AI47" s="10"/>
      <c r="AJ47" s="21">
        <f>IF(AN47=0,J47,0)</f>
        <v>0</v>
      </c>
      <c r="AK47" s="21">
        <f>IF(AN47=15,J47,0)</f>
        <v>0</v>
      </c>
      <c r="AL47" s="21">
        <f>IF(AN47=21,J47,0)</f>
        <v>0</v>
      </c>
      <c r="AN47" s="21">
        <v>21</v>
      </c>
      <c r="AO47" s="21">
        <f>G47*1</f>
        <v>0</v>
      </c>
      <c r="AP47" s="21">
        <f>G47*(1-1)</f>
        <v>0</v>
      </c>
      <c r="AQ47" s="23" t="s">
        <v>51</v>
      </c>
      <c r="AV47" s="21">
        <f>AW47+AX47</f>
        <v>0</v>
      </c>
      <c r="AW47" s="21">
        <f>F47*AO47</f>
        <v>0</v>
      </c>
      <c r="AX47" s="21">
        <f>F47*AP47</f>
        <v>0</v>
      </c>
      <c r="AY47" s="23" t="s">
        <v>459</v>
      </c>
      <c r="AZ47" s="23" t="s">
        <v>460</v>
      </c>
      <c r="BA47" s="10" t="s">
        <v>58</v>
      </c>
      <c r="BC47" s="21">
        <f>AW47+AX47</f>
        <v>0</v>
      </c>
      <c r="BD47" s="21">
        <f>G47/(100-BE47)*100</f>
        <v>0</v>
      </c>
      <c r="BE47" s="21">
        <v>0</v>
      </c>
      <c r="BF47" s="21">
        <f>L47</f>
        <v>0.0722352</v>
      </c>
      <c r="BH47" s="21">
        <f>F47*AO47</f>
        <v>0</v>
      </c>
      <c r="BI47" s="21">
        <f>F47*AP47</f>
        <v>0</v>
      </c>
      <c r="BJ47" s="21">
        <f>F47*G47</f>
        <v>0</v>
      </c>
      <c r="BK47" s="21" t="s">
        <v>201</v>
      </c>
      <c r="BL47" s="21">
        <v>21</v>
      </c>
    </row>
    <row r="48" spans="1:14" ht="15">
      <c r="A48" s="2"/>
      <c r="C48" s="24" t="s">
        <v>583</v>
      </c>
      <c r="D48" s="24"/>
      <c r="F48" s="25">
        <v>149</v>
      </c>
      <c r="M48" s="26"/>
      <c r="N48" s="2"/>
    </row>
    <row r="49" spans="1:14" ht="15">
      <c r="A49" s="2"/>
      <c r="C49" s="24" t="s">
        <v>584</v>
      </c>
      <c r="D49" s="24"/>
      <c r="F49" s="25">
        <v>1.49</v>
      </c>
      <c r="M49" s="26"/>
      <c r="N49" s="2"/>
    </row>
    <row r="50" spans="1:14" ht="15">
      <c r="A50" s="2"/>
      <c r="B50" s="27" t="s">
        <v>61</v>
      </c>
      <c r="C50" s="634" t="s">
        <v>467</v>
      </c>
      <c r="D50" s="635"/>
      <c r="E50" s="635"/>
      <c r="F50" s="635"/>
      <c r="G50" s="635"/>
      <c r="H50" s="635"/>
      <c r="I50" s="635"/>
      <c r="J50" s="635"/>
      <c r="K50" s="635"/>
      <c r="L50" s="635"/>
      <c r="M50" s="636"/>
      <c r="N50" s="2"/>
    </row>
    <row r="51" spans="1:47" ht="15">
      <c r="A51" s="41"/>
      <c r="B51" s="42" t="s">
        <v>132</v>
      </c>
      <c r="C51" s="637" t="s">
        <v>133</v>
      </c>
      <c r="D51" s="638"/>
      <c r="E51" s="43" t="s">
        <v>4</v>
      </c>
      <c r="F51" s="43" t="s">
        <v>4</v>
      </c>
      <c r="G51" s="43" t="s">
        <v>4</v>
      </c>
      <c r="H51" s="44">
        <f>SUM(H52:H73)</f>
        <v>0</v>
      </c>
      <c r="I51" s="44">
        <f>SUM(I52:I73)</f>
        <v>0</v>
      </c>
      <c r="J51" s="44">
        <f>SUM(J52:J73)</f>
        <v>0</v>
      </c>
      <c r="K51" s="45"/>
      <c r="L51" s="44">
        <f>SUM(L52:L73)</f>
        <v>1494.5784199999998</v>
      </c>
      <c r="M51" s="46"/>
      <c r="N51" s="2"/>
      <c r="AI51" s="10"/>
      <c r="AS51" s="19">
        <f>SUM(AJ52:AJ73)</f>
        <v>0</v>
      </c>
      <c r="AT51" s="19">
        <f>SUM(AK52:AK73)</f>
        <v>0</v>
      </c>
      <c r="AU51" s="19">
        <f>SUM(AL52:AL73)</f>
        <v>0</v>
      </c>
    </row>
    <row r="52" spans="1:64" ht="15">
      <c r="A52" s="20" t="s">
        <v>128</v>
      </c>
      <c r="B52" s="3" t="s">
        <v>134</v>
      </c>
      <c r="C52" s="618" t="s">
        <v>135</v>
      </c>
      <c r="D52" s="608"/>
      <c r="E52" s="3" t="s">
        <v>54</v>
      </c>
      <c r="F52" s="21">
        <v>1150.5</v>
      </c>
      <c r="G52" s="537"/>
      <c r="H52" s="21">
        <f>F52*AO52</f>
        <v>0</v>
      </c>
      <c r="I52" s="21">
        <f>F52*AP52</f>
        <v>0</v>
      </c>
      <c r="J52" s="21">
        <f>F52*G52</f>
        <v>0</v>
      </c>
      <c r="K52" s="21">
        <v>0.02058</v>
      </c>
      <c r="L52" s="21">
        <f>F52*K52</f>
        <v>23.677290000000003</v>
      </c>
      <c r="M52" s="539" t="s">
        <v>2130</v>
      </c>
      <c r="N52" s="2"/>
      <c r="Z52" s="21">
        <f>IF(AQ52="5",BJ52,0)</f>
        <v>0</v>
      </c>
      <c r="AB52" s="21">
        <f>IF(AQ52="1",BH52,0)</f>
        <v>0</v>
      </c>
      <c r="AC52" s="21">
        <f>IF(AQ52="1",BI52,0)</f>
        <v>0</v>
      </c>
      <c r="AD52" s="21">
        <f>IF(AQ52="7",BH52,0)</f>
        <v>0</v>
      </c>
      <c r="AE52" s="21">
        <f>IF(AQ52="7",BI52,0)</f>
        <v>0</v>
      </c>
      <c r="AF52" s="21">
        <f>IF(AQ52="2",BH52,0)</f>
        <v>0</v>
      </c>
      <c r="AG52" s="21">
        <f>IF(AQ52="2",BI52,0)</f>
        <v>0</v>
      </c>
      <c r="AH52" s="21">
        <f>IF(AQ52="0",BJ52,0)</f>
        <v>0</v>
      </c>
      <c r="AI52" s="10"/>
      <c r="AJ52" s="21">
        <f>IF(AN52=0,J52,0)</f>
        <v>0</v>
      </c>
      <c r="AK52" s="21">
        <f>IF(AN52=15,J52,0)</f>
        <v>0</v>
      </c>
      <c r="AL52" s="21">
        <f>IF(AN52=21,J52,0)</f>
        <v>0</v>
      </c>
      <c r="AN52" s="21">
        <v>21</v>
      </c>
      <c r="AO52" s="21">
        <f>G52*0.5408</f>
        <v>0</v>
      </c>
      <c r="AP52" s="21">
        <f>G52*(1-0.5408)</f>
        <v>0</v>
      </c>
      <c r="AQ52" s="23" t="s">
        <v>51</v>
      </c>
      <c r="AV52" s="21">
        <f>AW52+AX52</f>
        <v>0</v>
      </c>
      <c r="AW52" s="21">
        <f>F52*AO52</f>
        <v>0</v>
      </c>
      <c r="AX52" s="21">
        <f>F52*AP52</f>
        <v>0</v>
      </c>
      <c r="AY52" s="23" t="s">
        <v>136</v>
      </c>
      <c r="AZ52" s="23" t="s">
        <v>137</v>
      </c>
      <c r="BA52" s="10" t="s">
        <v>58</v>
      </c>
      <c r="BC52" s="21">
        <f>AW52+AX52</f>
        <v>0</v>
      </c>
      <c r="BD52" s="21">
        <f>G52/(100-BE52)*100</f>
        <v>0</v>
      </c>
      <c r="BE52" s="21">
        <v>0</v>
      </c>
      <c r="BF52" s="21">
        <f>L52</f>
        <v>23.677290000000003</v>
      </c>
      <c r="BH52" s="21">
        <f>F52*AO52</f>
        <v>0</v>
      </c>
      <c r="BI52" s="21">
        <f>F52*AP52</f>
        <v>0</v>
      </c>
      <c r="BJ52" s="21">
        <f>F52*G52</f>
        <v>0</v>
      </c>
      <c r="BK52" s="21" t="s">
        <v>59</v>
      </c>
      <c r="BL52" s="21">
        <v>56</v>
      </c>
    </row>
    <row r="53" spans="1:14" ht="15">
      <c r="A53" s="2"/>
      <c r="B53" s="27" t="s">
        <v>138</v>
      </c>
      <c r="C53" s="639" t="s">
        <v>139</v>
      </c>
      <c r="D53" s="640"/>
      <c r="E53" s="640"/>
      <c r="F53" s="640"/>
      <c r="G53" s="640"/>
      <c r="H53" s="640"/>
      <c r="I53" s="640"/>
      <c r="J53" s="640"/>
      <c r="K53" s="640"/>
      <c r="L53" s="640"/>
      <c r="M53" s="641"/>
      <c r="N53" s="2"/>
    </row>
    <row r="54" spans="1:14" ht="15">
      <c r="A54" s="2"/>
      <c r="C54" s="24" t="s">
        <v>585</v>
      </c>
      <c r="D54" s="24"/>
      <c r="F54" s="25">
        <v>1150.5</v>
      </c>
      <c r="M54" s="26"/>
      <c r="N54" s="2"/>
    </row>
    <row r="55" spans="1:64" ht="15">
      <c r="A55" s="20" t="s">
        <v>66</v>
      </c>
      <c r="B55" s="3" t="s">
        <v>141</v>
      </c>
      <c r="C55" s="618" t="s">
        <v>142</v>
      </c>
      <c r="D55" s="608"/>
      <c r="E55" s="3" t="s">
        <v>54</v>
      </c>
      <c r="F55" s="21">
        <v>1047.5</v>
      </c>
      <c r="G55" s="537"/>
      <c r="H55" s="21">
        <f>F55*AO55</f>
        <v>0</v>
      </c>
      <c r="I55" s="21">
        <f>F55*AP55</f>
        <v>0</v>
      </c>
      <c r="J55" s="21">
        <f>F55*G55</f>
        <v>0</v>
      </c>
      <c r="K55" s="21">
        <v>0.506</v>
      </c>
      <c r="L55" s="21">
        <f>F55*K55</f>
        <v>530.035</v>
      </c>
      <c r="M55" s="22" t="s">
        <v>55</v>
      </c>
      <c r="N55" s="2"/>
      <c r="Z55" s="21">
        <f>IF(AQ55="5",BJ55,0)</f>
        <v>0</v>
      </c>
      <c r="AB55" s="21">
        <f>IF(AQ55="1",BH55,0)</f>
        <v>0</v>
      </c>
      <c r="AC55" s="21">
        <f>IF(AQ55="1",BI55,0)</f>
        <v>0</v>
      </c>
      <c r="AD55" s="21">
        <f>IF(AQ55="7",BH55,0)</f>
        <v>0</v>
      </c>
      <c r="AE55" s="21">
        <f>IF(AQ55="7",BI55,0)</f>
        <v>0</v>
      </c>
      <c r="AF55" s="21">
        <f>IF(AQ55="2",BH55,0)</f>
        <v>0</v>
      </c>
      <c r="AG55" s="21">
        <f>IF(AQ55="2",BI55,0)</f>
        <v>0</v>
      </c>
      <c r="AH55" s="21">
        <f>IF(AQ55="0",BJ55,0)</f>
        <v>0</v>
      </c>
      <c r="AI55" s="10"/>
      <c r="AJ55" s="21">
        <f>IF(AN55=0,J55,0)</f>
        <v>0</v>
      </c>
      <c r="AK55" s="21">
        <f>IF(AN55=15,J55,0)</f>
        <v>0</v>
      </c>
      <c r="AL55" s="21">
        <f>IF(AN55=21,J55,0)</f>
        <v>0</v>
      </c>
      <c r="AN55" s="21">
        <v>21</v>
      </c>
      <c r="AO55" s="21">
        <f>G55*0.860765957446809</f>
        <v>0</v>
      </c>
      <c r="AP55" s="21">
        <f>G55*(1-0.860765957446809)</f>
        <v>0</v>
      </c>
      <c r="AQ55" s="23" t="s">
        <v>51</v>
      </c>
      <c r="AV55" s="21">
        <f>AW55+AX55</f>
        <v>0</v>
      </c>
      <c r="AW55" s="21">
        <f>F55*AO55</f>
        <v>0</v>
      </c>
      <c r="AX55" s="21">
        <f>F55*AP55</f>
        <v>0</v>
      </c>
      <c r="AY55" s="23" t="s">
        <v>136</v>
      </c>
      <c r="AZ55" s="23" t="s">
        <v>137</v>
      </c>
      <c r="BA55" s="10" t="s">
        <v>58</v>
      </c>
      <c r="BC55" s="21">
        <f>AW55+AX55</f>
        <v>0</v>
      </c>
      <c r="BD55" s="21">
        <f>G55/(100-BE55)*100</f>
        <v>0</v>
      </c>
      <c r="BE55" s="21">
        <v>0</v>
      </c>
      <c r="BF55" s="21">
        <f>L55</f>
        <v>530.035</v>
      </c>
      <c r="BH55" s="21">
        <f>F55*AO55</f>
        <v>0</v>
      </c>
      <c r="BI55" s="21">
        <f>F55*AP55</f>
        <v>0</v>
      </c>
      <c r="BJ55" s="21">
        <f>F55*G55</f>
        <v>0</v>
      </c>
      <c r="BK55" s="21" t="s">
        <v>59</v>
      </c>
      <c r="BL55" s="21">
        <v>56</v>
      </c>
    </row>
    <row r="56" spans="1:14" ht="15">
      <c r="A56" s="2"/>
      <c r="B56" s="27" t="s">
        <v>138</v>
      </c>
      <c r="C56" s="639" t="s">
        <v>143</v>
      </c>
      <c r="D56" s="640"/>
      <c r="E56" s="640"/>
      <c r="F56" s="640"/>
      <c r="G56" s="640"/>
      <c r="H56" s="640"/>
      <c r="I56" s="640"/>
      <c r="J56" s="640"/>
      <c r="K56" s="640"/>
      <c r="L56" s="640"/>
      <c r="M56" s="641"/>
      <c r="N56" s="2"/>
    </row>
    <row r="57" spans="1:14" ht="15">
      <c r="A57" s="2"/>
      <c r="C57" s="24" t="s">
        <v>586</v>
      </c>
      <c r="D57" s="24" t="s">
        <v>145</v>
      </c>
      <c r="F57" s="25">
        <v>1047.5</v>
      </c>
      <c r="M57" s="26"/>
      <c r="N57" s="2"/>
    </row>
    <row r="58" spans="1:64" ht="15">
      <c r="A58" s="20" t="s">
        <v>92</v>
      </c>
      <c r="B58" s="3" t="s">
        <v>587</v>
      </c>
      <c r="C58" s="618" t="s">
        <v>588</v>
      </c>
      <c r="D58" s="608"/>
      <c r="E58" s="3" t="s">
        <v>54</v>
      </c>
      <c r="F58" s="21">
        <v>103</v>
      </c>
      <c r="G58" s="537"/>
      <c r="H58" s="21">
        <f>F58*AO58</f>
        <v>0</v>
      </c>
      <c r="I58" s="21">
        <f>F58*AP58</f>
        <v>0</v>
      </c>
      <c r="J58" s="21">
        <f>F58*G58</f>
        <v>0</v>
      </c>
      <c r="K58" s="21">
        <v>0.46</v>
      </c>
      <c r="L58" s="21">
        <f>F58*K58</f>
        <v>47.38</v>
      </c>
      <c r="M58" s="22" t="s">
        <v>55</v>
      </c>
      <c r="N58" s="2"/>
      <c r="Z58" s="21">
        <f>IF(AQ58="5",BJ58,0)</f>
        <v>0</v>
      </c>
      <c r="AB58" s="21">
        <f>IF(AQ58="1",BH58,0)</f>
        <v>0</v>
      </c>
      <c r="AC58" s="21">
        <f>IF(AQ58="1",BI58,0)</f>
        <v>0</v>
      </c>
      <c r="AD58" s="21">
        <f>IF(AQ58="7",BH58,0)</f>
        <v>0</v>
      </c>
      <c r="AE58" s="21">
        <f>IF(AQ58="7",BI58,0)</f>
        <v>0</v>
      </c>
      <c r="AF58" s="21">
        <f>IF(AQ58="2",BH58,0)</f>
        <v>0</v>
      </c>
      <c r="AG58" s="21">
        <f>IF(AQ58="2",BI58,0)</f>
        <v>0</v>
      </c>
      <c r="AH58" s="21">
        <f>IF(AQ58="0",BJ58,0)</f>
        <v>0</v>
      </c>
      <c r="AI58" s="10"/>
      <c r="AJ58" s="21">
        <f>IF(AN58=0,J58,0)</f>
        <v>0</v>
      </c>
      <c r="AK58" s="21">
        <f>IF(AN58=15,J58,0)</f>
        <v>0</v>
      </c>
      <c r="AL58" s="21">
        <f>IF(AN58=21,J58,0)</f>
        <v>0</v>
      </c>
      <c r="AN58" s="21">
        <v>21</v>
      </c>
      <c r="AO58" s="21">
        <f>G58*0.854802784222738</f>
        <v>0</v>
      </c>
      <c r="AP58" s="21">
        <f>G58*(1-0.854802784222738)</f>
        <v>0</v>
      </c>
      <c r="AQ58" s="23" t="s">
        <v>51</v>
      </c>
      <c r="AV58" s="21">
        <f>AW58+AX58</f>
        <v>0</v>
      </c>
      <c r="AW58" s="21">
        <f>F58*AO58</f>
        <v>0</v>
      </c>
      <c r="AX58" s="21">
        <f>F58*AP58</f>
        <v>0</v>
      </c>
      <c r="AY58" s="23" t="s">
        <v>136</v>
      </c>
      <c r="AZ58" s="23" t="s">
        <v>137</v>
      </c>
      <c r="BA58" s="10" t="s">
        <v>58</v>
      </c>
      <c r="BC58" s="21">
        <f>AW58+AX58</f>
        <v>0</v>
      </c>
      <c r="BD58" s="21">
        <f>G58/(100-BE58)*100</f>
        <v>0</v>
      </c>
      <c r="BE58" s="21">
        <v>0</v>
      </c>
      <c r="BF58" s="21">
        <f>L58</f>
        <v>47.38</v>
      </c>
      <c r="BH58" s="21">
        <f>F58*AO58</f>
        <v>0</v>
      </c>
      <c r="BI58" s="21">
        <f>F58*AP58</f>
        <v>0</v>
      </c>
      <c r="BJ58" s="21">
        <f>F58*G58</f>
        <v>0</v>
      </c>
      <c r="BK58" s="21" t="s">
        <v>59</v>
      </c>
      <c r="BL58" s="21">
        <v>56</v>
      </c>
    </row>
    <row r="59" spans="1:14" ht="15">
      <c r="A59" s="2"/>
      <c r="B59" s="27" t="s">
        <v>138</v>
      </c>
      <c r="C59" s="639" t="s">
        <v>143</v>
      </c>
      <c r="D59" s="640"/>
      <c r="E59" s="640"/>
      <c r="F59" s="640"/>
      <c r="G59" s="640"/>
      <c r="H59" s="640"/>
      <c r="I59" s="640"/>
      <c r="J59" s="640"/>
      <c r="K59" s="640"/>
      <c r="L59" s="640"/>
      <c r="M59" s="641"/>
      <c r="N59" s="2"/>
    </row>
    <row r="60" spans="1:14" ht="15">
      <c r="A60" s="2"/>
      <c r="C60" s="24" t="s">
        <v>589</v>
      </c>
      <c r="D60" s="24"/>
      <c r="F60" s="25">
        <v>103</v>
      </c>
      <c r="M60" s="26"/>
      <c r="N60" s="2"/>
    </row>
    <row r="61" spans="1:64" ht="15">
      <c r="A61" s="20" t="s">
        <v>102</v>
      </c>
      <c r="B61" s="3" t="s">
        <v>150</v>
      </c>
      <c r="C61" s="618" t="s">
        <v>151</v>
      </c>
      <c r="D61" s="608"/>
      <c r="E61" s="3" t="s">
        <v>54</v>
      </c>
      <c r="F61" s="21">
        <v>4.5</v>
      </c>
      <c r="G61" s="537"/>
      <c r="H61" s="21">
        <f>F61*AO61</f>
        <v>0</v>
      </c>
      <c r="I61" s="21">
        <f>F61*AP61</f>
        <v>0</v>
      </c>
      <c r="J61" s="21">
        <f>F61*G61</f>
        <v>0</v>
      </c>
      <c r="K61" s="21">
        <v>0.345</v>
      </c>
      <c r="L61" s="21">
        <f>F61*K61</f>
        <v>1.5524999999999998</v>
      </c>
      <c r="M61" s="22" t="s">
        <v>55</v>
      </c>
      <c r="N61" s="2"/>
      <c r="Z61" s="21">
        <f>IF(AQ61="5",BJ61,0)</f>
        <v>0</v>
      </c>
      <c r="AB61" s="21">
        <f>IF(AQ61="1",BH61,0)</f>
        <v>0</v>
      </c>
      <c r="AC61" s="21">
        <f>IF(AQ61="1",BI61,0)</f>
        <v>0</v>
      </c>
      <c r="AD61" s="21">
        <f>IF(AQ61="7",BH61,0)</f>
        <v>0</v>
      </c>
      <c r="AE61" s="21">
        <f>IF(AQ61="7",BI61,0)</f>
        <v>0</v>
      </c>
      <c r="AF61" s="21">
        <f>IF(AQ61="2",BH61,0)</f>
        <v>0</v>
      </c>
      <c r="AG61" s="21">
        <f>IF(AQ61="2",BI61,0)</f>
        <v>0</v>
      </c>
      <c r="AH61" s="21">
        <f>IF(AQ61="0",BJ61,0)</f>
        <v>0</v>
      </c>
      <c r="AI61" s="10"/>
      <c r="AJ61" s="21">
        <f>IF(AN61=0,J61,0)</f>
        <v>0</v>
      </c>
      <c r="AK61" s="21">
        <f>IF(AN61=15,J61,0)</f>
        <v>0</v>
      </c>
      <c r="AL61" s="21">
        <f>IF(AN61=21,J61,0)</f>
        <v>0</v>
      </c>
      <c r="AN61" s="21">
        <v>21</v>
      </c>
      <c r="AO61" s="21">
        <f>G61*0.835878787878788</f>
        <v>0</v>
      </c>
      <c r="AP61" s="21">
        <f>G61*(1-0.835878787878788)</f>
        <v>0</v>
      </c>
      <c r="AQ61" s="23" t="s">
        <v>51</v>
      </c>
      <c r="AV61" s="21">
        <f>AW61+AX61</f>
        <v>0</v>
      </c>
      <c r="AW61" s="21">
        <f>F61*AO61</f>
        <v>0</v>
      </c>
      <c r="AX61" s="21">
        <f>F61*AP61</f>
        <v>0</v>
      </c>
      <c r="AY61" s="23" t="s">
        <v>136</v>
      </c>
      <c r="AZ61" s="23" t="s">
        <v>137</v>
      </c>
      <c r="BA61" s="10" t="s">
        <v>58</v>
      </c>
      <c r="BC61" s="21">
        <f>AW61+AX61</f>
        <v>0</v>
      </c>
      <c r="BD61" s="21">
        <f>G61/(100-BE61)*100</f>
        <v>0</v>
      </c>
      <c r="BE61" s="21">
        <v>0</v>
      </c>
      <c r="BF61" s="21">
        <f>L61</f>
        <v>1.5524999999999998</v>
      </c>
      <c r="BH61" s="21">
        <f>F61*AO61</f>
        <v>0</v>
      </c>
      <c r="BI61" s="21">
        <f>F61*AP61</f>
        <v>0</v>
      </c>
      <c r="BJ61" s="21">
        <f>F61*G61</f>
        <v>0</v>
      </c>
      <c r="BK61" s="21" t="s">
        <v>59</v>
      </c>
      <c r="BL61" s="21">
        <v>56</v>
      </c>
    </row>
    <row r="62" spans="1:14" ht="15">
      <c r="A62" s="2"/>
      <c r="B62" s="27" t="s">
        <v>138</v>
      </c>
      <c r="C62" s="639" t="s">
        <v>143</v>
      </c>
      <c r="D62" s="640"/>
      <c r="E62" s="640"/>
      <c r="F62" s="640"/>
      <c r="G62" s="640"/>
      <c r="H62" s="640"/>
      <c r="I62" s="640"/>
      <c r="J62" s="640"/>
      <c r="K62" s="640"/>
      <c r="L62" s="640"/>
      <c r="M62" s="641"/>
      <c r="N62" s="2"/>
    </row>
    <row r="63" spans="1:14" ht="15">
      <c r="A63" s="2"/>
      <c r="C63" s="24" t="s">
        <v>497</v>
      </c>
      <c r="D63" s="24"/>
      <c r="F63" s="25">
        <v>4.5</v>
      </c>
      <c r="M63" s="26"/>
      <c r="N63" s="2"/>
    </row>
    <row r="64" spans="1:64" ht="15">
      <c r="A64" s="20" t="s">
        <v>114</v>
      </c>
      <c r="B64" s="3" t="s">
        <v>158</v>
      </c>
      <c r="C64" s="618" t="s">
        <v>159</v>
      </c>
      <c r="D64" s="608"/>
      <c r="E64" s="3" t="s">
        <v>54</v>
      </c>
      <c r="F64" s="21">
        <v>326</v>
      </c>
      <c r="G64" s="537"/>
      <c r="H64" s="21">
        <f>F64*AO64</f>
        <v>0</v>
      </c>
      <c r="I64" s="21">
        <f>F64*AP64</f>
        <v>0</v>
      </c>
      <c r="J64" s="21">
        <f>F64*G64</f>
        <v>0</v>
      </c>
      <c r="K64" s="21">
        <v>0.575</v>
      </c>
      <c r="L64" s="21">
        <f>F64*K64</f>
        <v>187.45</v>
      </c>
      <c r="M64" s="22" t="s">
        <v>55</v>
      </c>
      <c r="N64" s="2"/>
      <c r="Z64" s="21">
        <f>IF(AQ64="5",BJ64,0)</f>
        <v>0</v>
      </c>
      <c r="AB64" s="21">
        <f>IF(AQ64="1",BH64,0)</f>
        <v>0</v>
      </c>
      <c r="AC64" s="21">
        <f>IF(AQ64="1",BI64,0)</f>
        <v>0</v>
      </c>
      <c r="AD64" s="21">
        <f>IF(AQ64="7",BH64,0)</f>
        <v>0</v>
      </c>
      <c r="AE64" s="21">
        <f>IF(AQ64="7",BI64,0)</f>
        <v>0</v>
      </c>
      <c r="AF64" s="21">
        <f>IF(AQ64="2",BH64,0)</f>
        <v>0</v>
      </c>
      <c r="AG64" s="21">
        <f>IF(AQ64="2",BI64,0)</f>
        <v>0</v>
      </c>
      <c r="AH64" s="21">
        <f>IF(AQ64="0",BJ64,0)</f>
        <v>0</v>
      </c>
      <c r="AI64" s="10"/>
      <c r="AJ64" s="21">
        <f>IF(AN64=0,J64,0)</f>
        <v>0</v>
      </c>
      <c r="AK64" s="21">
        <f>IF(AN64=15,J64,0)</f>
        <v>0</v>
      </c>
      <c r="AL64" s="21">
        <f>IF(AN64=21,J64,0)</f>
        <v>0</v>
      </c>
      <c r="AN64" s="21">
        <v>21</v>
      </c>
      <c r="AO64" s="21">
        <f>G64*0.874372623574145</f>
        <v>0</v>
      </c>
      <c r="AP64" s="21">
        <f>G64*(1-0.874372623574145)</f>
        <v>0</v>
      </c>
      <c r="AQ64" s="23" t="s">
        <v>51</v>
      </c>
      <c r="AV64" s="21">
        <f>AW64+AX64</f>
        <v>0</v>
      </c>
      <c r="AW64" s="21">
        <f>F64*AO64</f>
        <v>0</v>
      </c>
      <c r="AX64" s="21">
        <f>F64*AP64</f>
        <v>0</v>
      </c>
      <c r="AY64" s="23" t="s">
        <v>136</v>
      </c>
      <c r="AZ64" s="23" t="s">
        <v>137</v>
      </c>
      <c r="BA64" s="10" t="s">
        <v>58</v>
      </c>
      <c r="BC64" s="21">
        <f>AW64+AX64</f>
        <v>0</v>
      </c>
      <c r="BD64" s="21">
        <f>G64/(100-BE64)*100</f>
        <v>0</v>
      </c>
      <c r="BE64" s="21">
        <v>0</v>
      </c>
      <c r="BF64" s="21">
        <f>L64</f>
        <v>187.45</v>
      </c>
      <c r="BH64" s="21">
        <f>F64*AO64</f>
        <v>0</v>
      </c>
      <c r="BI64" s="21">
        <f>F64*AP64</f>
        <v>0</v>
      </c>
      <c r="BJ64" s="21">
        <f>F64*G64</f>
        <v>0</v>
      </c>
      <c r="BK64" s="21" t="s">
        <v>59</v>
      </c>
      <c r="BL64" s="21">
        <v>56</v>
      </c>
    </row>
    <row r="65" spans="1:14" ht="15">
      <c r="A65" s="2"/>
      <c r="B65" s="27" t="s">
        <v>138</v>
      </c>
      <c r="C65" s="639" t="s">
        <v>143</v>
      </c>
      <c r="D65" s="640"/>
      <c r="E65" s="640"/>
      <c r="F65" s="640"/>
      <c r="G65" s="640"/>
      <c r="H65" s="640"/>
      <c r="I65" s="640"/>
      <c r="J65" s="640"/>
      <c r="K65" s="640"/>
      <c r="L65" s="640"/>
      <c r="M65" s="641"/>
      <c r="N65" s="2"/>
    </row>
    <row r="66" spans="1:14" ht="15">
      <c r="A66" s="2"/>
      <c r="C66" s="24" t="s">
        <v>590</v>
      </c>
      <c r="D66" s="24"/>
      <c r="F66" s="25">
        <v>326</v>
      </c>
      <c r="M66" s="26"/>
      <c r="N66" s="2"/>
    </row>
    <row r="67" spans="1:64" ht="15">
      <c r="A67" s="20" t="s">
        <v>121</v>
      </c>
      <c r="B67" s="3" t="s">
        <v>166</v>
      </c>
      <c r="C67" s="618" t="s">
        <v>167</v>
      </c>
      <c r="D67" s="608"/>
      <c r="E67" s="3" t="s">
        <v>54</v>
      </c>
      <c r="F67" s="21">
        <v>27.5</v>
      </c>
      <c r="G67" s="537"/>
      <c r="H67" s="21">
        <f>F67*AO67</f>
        <v>0</v>
      </c>
      <c r="I67" s="21">
        <f>F67*AP67</f>
        <v>0</v>
      </c>
      <c r="J67" s="21">
        <f>F67*G67</f>
        <v>0</v>
      </c>
      <c r="K67" s="21">
        <v>0.56194</v>
      </c>
      <c r="L67" s="21">
        <f>F67*K67</f>
        <v>15.45335</v>
      </c>
      <c r="M67" s="22" t="s">
        <v>55</v>
      </c>
      <c r="N67" s="2"/>
      <c r="Z67" s="21">
        <f>IF(AQ67="5",BJ67,0)</f>
        <v>0</v>
      </c>
      <c r="AB67" s="21">
        <f>IF(AQ67="1",BH67,0)</f>
        <v>0</v>
      </c>
      <c r="AC67" s="21">
        <f>IF(AQ67="1",BI67,0)</f>
        <v>0</v>
      </c>
      <c r="AD67" s="21">
        <f>IF(AQ67="7",BH67,0)</f>
        <v>0</v>
      </c>
      <c r="AE67" s="21">
        <f>IF(AQ67="7",BI67,0)</f>
        <v>0</v>
      </c>
      <c r="AF67" s="21">
        <f>IF(AQ67="2",BH67,0)</f>
        <v>0</v>
      </c>
      <c r="AG67" s="21">
        <f>IF(AQ67="2",BI67,0)</f>
        <v>0</v>
      </c>
      <c r="AH67" s="21">
        <f>IF(AQ67="0",BJ67,0)</f>
        <v>0</v>
      </c>
      <c r="AI67" s="10"/>
      <c r="AJ67" s="21">
        <f>IF(AN67=0,J67,0)</f>
        <v>0</v>
      </c>
      <c r="AK67" s="21">
        <f>IF(AN67=15,J67,0)</f>
        <v>0</v>
      </c>
      <c r="AL67" s="21">
        <f>IF(AN67=21,J67,0)</f>
        <v>0</v>
      </c>
      <c r="AN67" s="21">
        <v>21</v>
      </c>
      <c r="AO67" s="21">
        <f>G67*0.92015681402163</f>
        <v>0</v>
      </c>
      <c r="AP67" s="21">
        <f>G67*(1-0.92015681402163)</f>
        <v>0</v>
      </c>
      <c r="AQ67" s="23" t="s">
        <v>51</v>
      </c>
      <c r="AV67" s="21">
        <f>AW67+AX67</f>
        <v>0</v>
      </c>
      <c r="AW67" s="21">
        <f>F67*AO67</f>
        <v>0</v>
      </c>
      <c r="AX67" s="21">
        <f>F67*AP67</f>
        <v>0</v>
      </c>
      <c r="AY67" s="23" t="s">
        <v>136</v>
      </c>
      <c r="AZ67" s="23" t="s">
        <v>137</v>
      </c>
      <c r="BA67" s="10" t="s">
        <v>58</v>
      </c>
      <c r="BC67" s="21">
        <f>AW67+AX67</f>
        <v>0</v>
      </c>
      <c r="BD67" s="21">
        <f>G67/(100-BE67)*100</f>
        <v>0</v>
      </c>
      <c r="BE67" s="21">
        <v>0</v>
      </c>
      <c r="BF67" s="21">
        <f>L67</f>
        <v>15.45335</v>
      </c>
      <c r="BH67" s="21">
        <f>F67*AO67</f>
        <v>0</v>
      </c>
      <c r="BI67" s="21">
        <f>F67*AP67</f>
        <v>0</v>
      </c>
      <c r="BJ67" s="21">
        <f>F67*G67</f>
        <v>0</v>
      </c>
      <c r="BK67" s="21" t="s">
        <v>59</v>
      </c>
      <c r="BL67" s="21">
        <v>56</v>
      </c>
    </row>
    <row r="68" spans="1:14" ht="15">
      <c r="A68" s="2"/>
      <c r="C68" s="24" t="s">
        <v>591</v>
      </c>
      <c r="D68" s="24" t="s">
        <v>168</v>
      </c>
      <c r="F68" s="25">
        <v>27.5</v>
      </c>
      <c r="M68" s="26"/>
      <c r="N68" s="2"/>
    </row>
    <row r="69" spans="1:64" ht="15">
      <c r="A69" s="20" t="s">
        <v>157</v>
      </c>
      <c r="B69" s="3" t="s">
        <v>169</v>
      </c>
      <c r="C69" s="618" t="s">
        <v>170</v>
      </c>
      <c r="D69" s="608"/>
      <c r="E69" s="3" t="s">
        <v>54</v>
      </c>
      <c r="F69" s="21">
        <v>97.5</v>
      </c>
      <c r="G69" s="537"/>
      <c r="H69" s="21">
        <f>F69*AO69</f>
        <v>0</v>
      </c>
      <c r="I69" s="21">
        <f>F69*AP69</f>
        <v>0</v>
      </c>
      <c r="J69" s="21">
        <f>F69*G69</f>
        <v>0</v>
      </c>
      <c r="K69" s="21">
        <v>0.38314</v>
      </c>
      <c r="L69" s="21">
        <f>F69*K69</f>
        <v>37.35615</v>
      </c>
      <c r="M69" s="22" t="s">
        <v>55</v>
      </c>
      <c r="N69" s="2"/>
      <c r="Z69" s="21">
        <f>IF(AQ69="5",BJ69,0)</f>
        <v>0</v>
      </c>
      <c r="AB69" s="21">
        <f>IF(AQ69="1",BH69,0)</f>
        <v>0</v>
      </c>
      <c r="AC69" s="21">
        <f>IF(AQ69="1",BI69,0)</f>
        <v>0</v>
      </c>
      <c r="AD69" s="21">
        <f>IF(AQ69="7",BH69,0)</f>
        <v>0</v>
      </c>
      <c r="AE69" s="21">
        <f>IF(AQ69="7",BI69,0)</f>
        <v>0</v>
      </c>
      <c r="AF69" s="21">
        <f>IF(AQ69="2",BH69,0)</f>
        <v>0</v>
      </c>
      <c r="AG69" s="21">
        <f>IF(AQ69="2",BI69,0)</f>
        <v>0</v>
      </c>
      <c r="AH69" s="21">
        <f>IF(AQ69="0",BJ69,0)</f>
        <v>0</v>
      </c>
      <c r="AI69" s="10"/>
      <c r="AJ69" s="21">
        <f>IF(AN69=0,J69,0)</f>
        <v>0</v>
      </c>
      <c r="AK69" s="21">
        <f>IF(AN69=15,J69,0)</f>
        <v>0</v>
      </c>
      <c r="AL69" s="21">
        <f>IF(AN69=21,J69,0)</f>
        <v>0</v>
      </c>
      <c r="AN69" s="21">
        <v>21</v>
      </c>
      <c r="AO69" s="21">
        <f>G69*0.898696883852691</f>
        <v>0</v>
      </c>
      <c r="AP69" s="21">
        <f>G69*(1-0.898696883852691)</f>
        <v>0</v>
      </c>
      <c r="AQ69" s="23" t="s">
        <v>51</v>
      </c>
      <c r="AV69" s="21">
        <f>AW69+AX69</f>
        <v>0</v>
      </c>
      <c r="AW69" s="21">
        <f>F69*AO69</f>
        <v>0</v>
      </c>
      <c r="AX69" s="21">
        <f>F69*AP69</f>
        <v>0</v>
      </c>
      <c r="AY69" s="23" t="s">
        <v>136</v>
      </c>
      <c r="AZ69" s="23" t="s">
        <v>137</v>
      </c>
      <c r="BA69" s="10" t="s">
        <v>58</v>
      </c>
      <c r="BC69" s="21">
        <f>AW69+AX69</f>
        <v>0</v>
      </c>
      <c r="BD69" s="21">
        <f>G69/(100-BE69)*100</f>
        <v>0</v>
      </c>
      <c r="BE69" s="21">
        <v>0</v>
      </c>
      <c r="BF69" s="21">
        <f>L69</f>
        <v>37.35615</v>
      </c>
      <c r="BH69" s="21">
        <f>F69*AO69</f>
        <v>0</v>
      </c>
      <c r="BI69" s="21">
        <f>F69*AP69</f>
        <v>0</v>
      </c>
      <c r="BJ69" s="21">
        <f>F69*G69</f>
        <v>0</v>
      </c>
      <c r="BK69" s="21" t="s">
        <v>59</v>
      </c>
      <c r="BL69" s="21">
        <v>56</v>
      </c>
    </row>
    <row r="70" spans="1:14" ht="15">
      <c r="A70" s="2"/>
      <c r="C70" s="24" t="s">
        <v>592</v>
      </c>
      <c r="D70" s="24"/>
      <c r="F70" s="25">
        <v>97.5</v>
      </c>
      <c r="M70" s="26"/>
      <c r="N70" s="2"/>
    </row>
    <row r="71" spans="1:64" ht="15">
      <c r="A71" s="20" t="s">
        <v>161</v>
      </c>
      <c r="B71" s="3" t="s">
        <v>476</v>
      </c>
      <c r="C71" s="618" t="s">
        <v>477</v>
      </c>
      <c r="D71" s="608"/>
      <c r="E71" s="3" t="s">
        <v>54</v>
      </c>
      <c r="F71" s="21">
        <v>937</v>
      </c>
      <c r="G71" s="537"/>
      <c r="H71" s="21">
        <f>F71*AO71</f>
        <v>0</v>
      </c>
      <c r="I71" s="21">
        <f>F71*AP71</f>
        <v>0</v>
      </c>
      <c r="J71" s="21">
        <f>F71*G71</f>
        <v>0</v>
      </c>
      <c r="K71" s="21">
        <v>0.51086</v>
      </c>
      <c r="L71" s="21">
        <f>F71*K71</f>
        <v>478.67582</v>
      </c>
      <c r="M71" s="22" t="s">
        <v>55</v>
      </c>
      <c r="N71" s="2"/>
      <c r="Z71" s="21">
        <f>IF(AQ71="5",BJ71,0)</f>
        <v>0</v>
      </c>
      <c r="AB71" s="21">
        <f>IF(AQ71="1",BH71,0)</f>
        <v>0</v>
      </c>
      <c r="AC71" s="21">
        <f>IF(AQ71="1",BI71,0)</f>
        <v>0</v>
      </c>
      <c r="AD71" s="21">
        <f>IF(AQ71="7",BH71,0)</f>
        <v>0</v>
      </c>
      <c r="AE71" s="21">
        <f>IF(AQ71="7",BI71,0)</f>
        <v>0</v>
      </c>
      <c r="AF71" s="21">
        <f>IF(AQ71="2",BH71,0)</f>
        <v>0</v>
      </c>
      <c r="AG71" s="21">
        <f>IF(AQ71="2",BI71,0)</f>
        <v>0</v>
      </c>
      <c r="AH71" s="21">
        <f>IF(AQ71="0",BJ71,0)</f>
        <v>0</v>
      </c>
      <c r="AI71" s="10"/>
      <c r="AJ71" s="21">
        <f>IF(AN71=0,J71,0)</f>
        <v>0</v>
      </c>
      <c r="AK71" s="21">
        <f>IF(AN71=15,J71,0)</f>
        <v>0</v>
      </c>
      <c r="AL71" s="21">
        <f>IF(AN71=21,J71,0)</f>
        <v>0</v>
      </c>
      <c r="AN71" s="21">
        <v>21</v>
      </c>
      <c r="AO71" s="21">
        <f>G71*0.916914590979174</f>
        <v>0</v>
      </c>
      <c r="AP71" s="21">
        <f>G71*(1-0.916914590979174)</f>
        <v>0</v>
      </c>
      <c r="AQ71" s="23" t="s">
        <v>51</v>
      </c>
      <c r="AV71" s="21">
        <f>AW71+AX71</f>
        <v>0</v>
      </c>
      <c r="AW71" s="21">
        <f>F71*AO71</f>
        <v>0</v>
      </c>
      <c r="AX71" s="21">
        <f>F71*AP71</f>
        <v>0</v>
      </c>
      <c r="AY71" s="23" t="s">
        <v>136</v>
      </c>
      <c r="AZ71" s="23" t="s">
        <v>137</v>
      </c>
      <c r="BA71" s="10" t="s">
        <v>58</v>
      </c>
      <c r="BC71" s="21">
        <f>AW71+AX71</f>
        <v>0</v>
      </c>
      <c r="BD71" s="21">
        <f>G71/(100-BE71)*100</f>
        <v>0</v>
      </c>
      <c r="BE71" s="21">
        <v>0</v>
      </c>
      <c r="BF71" s="21">
        <f>L71</f>
        <v>478.67582</v>
      </c>
      <c r="BH71" s="21">
        <f>F71*AO71</f>
        <v>0</v>
      </c>
      <c r="BI71" s="21">
        <f>F71*AP71</f>
        <v>0</v>
      </c>
      <c r="BJ71" s="21">
        <f>F71*G71</f>
        <v>0</v>
      </c>
      <c r="BK71" s="21" t="s">
        <v>59</v>
      </c>
      <c r="BL71" s="21">
        <v>56</v>
      </c>
    </row>
    <row r="72" spans="1:14" ht="15">
      <c r="A72" s="2"/>
      <c r="C72" s="24" t="s">
        <v>593</v>
      </c>
      <c r="D72" s="24" t="s">
        <v>594</v>
      </c>
      <c r="F72" s="25">
        <v>937</v>
      </c>
      <c r="M72" s="26"/>
      <c r="N72" s="2"/>
    </row>
    <row r="73" spans="1:64" ht="15">
      <c r="A73" s="20" t="s">
        <v>165</v>
      </c>
      <c r="B73" s="3" t="s">
        <v>173</v>
      </c>
      <c r="C73" s="618" t="s">
        <v>174</v>
      </c>
      <c r="D73" s="608"/>
      <c r="E73" s="3" t="s">
        <v>54</v>
      </c>
      <c r="F73" s="21">
        <v>937</v>
      </c>
      <c r="G73" s="537"/>
      <c r="H73" s="21">
        <f>F73*AO73</f>
        <v>0</v>
      </c>
      <c r="I73" s="21">
        <f>F73*AP73</f>
        <v>0</v>
      </c>
      <c r="J73" s="21">
        <f>F73*G73</f>
        <v>0</v>
      </c>
      <c r="K73" s="21">
        <v>0.18463</v>
      </c>
      <c r="L73" s="21">
        <f>F73*K73</f>
        <v>172.99830999999998</v>
      </c>
      <c r="M73" s="22" t="s">
        <v>55</v>
      </c>
      <c r="N73" s="2"/>
      <c r="Z73" s="21">
        <f>IF(AQ73="5",BJ73,0)</f>
        <v>0</v>
      </c>
      <c r="AB73" s="21">
        <f>IF(AQ73="1",BH73,0)</f>
        <v>0</v>
      </c>
      <c r="AC73" s="21">
        <f>IF(AQ73="1",BI73,0)</f>
        <v>0</v>
      </c>
      <c r="AD73" s="21">
        <f>IF(AQ73="7",BH73,0)</f>
        <v>0</v>
      </c>
      <c r="AE73" s="21">
        <f>IF(AQ73="7",BI73,0)</f>
        <v>0</v>
      </c>
      <c r="AF73" s="21">
        <f>IF(AQ73="2",BH73,0)</f>
        <v>0</v>
      </c>
      <c r="AG73" s="21">
        <f>IF(AQ73="2",BI73,0)</f>
        <v>0</v>
      </c>
      <c r="AH73" s="21">
        <f>IF(AQ73="0",BJ73,0)</f>
        <v>0</v>
      </c>
      <c r="AI73" s="10"/>
      <c r="AJ73" s="21">
        <f>IF(AN73=0,J73,0)</f>
        <v>0</v>
      </c>
      <c r="AK73" s="21">
        <f>IF(AN73=15,J73,0)</f>
        <v>0</v>
      </c>
      <c r="AL73" s="21">
        <f>IF(AN73=21,J73,0)</f>
        <v>0</v>
      </c>
      <c r="AN73" s="21">
        <v>21</v>
      </c>
      <c r="AO73" s="21">
        <f>G73*0.872136540249339</f>
        <v>0</v>
      </c>
      <c r="AP73" s="21">
        <f>G73*(1-0.872136540249339)</f>
        <v>0</v>
      </c>
      <c r="AQ73" s="23" t="s">
        <v>51</v>
      </c>
      <c r="AV73" s="21">
        <f>AW73+AX73</f>
        <v>0</v>
      </c>
      <c r="AW73" s="21">
        <f>F73*AO73</f>
        <v>0</v>
      </c>
      <c r="AX73" s="21">
        <f>F73*AP73</f>
        <v>0</v>
      </c>
      <c r="AY73" s="23" t="s">
        <v>136</v>
      </c>
      <c r="AZ73" s="23" t="s">
        <v>137</v>
      </c>
      <c r="BA73" s="10" t="s">
        <v>58</v>
      </c>
      <c r="BC73" s="21">
        <f>AW73+AX73</f>
        <v>0</v>
      </c>
      <c r="BD73" s="21">
        <f>G73/(100-BE73)*100</f>
        <v>0</v>
      </c>
      <c r="BE73" s="21">
        <v>0</v>
      </c>
      <c r="BF73" s="21">
        <f>L73</f>
        <v>172.99830999999998</v>
      </c>
      <c r="BH73" s="21">
        <f>F73*AO73</f>
        <v>0</v>
      </c>
      <c r="BI73" s="21">
        <f>F73*AP73</f>
        <v>0</v>
      </c>
      <c r="BJ73" s="21">
        <f>F73*G73</f>
        <v>0</v>
      </c>
      <c r="BK73" s="21" t="s">
        <v>59</v>
      </c>
      <c r="BL73" s="21">
        <v>56</v>
      </c>
    </row>
    <row r="74" spans="1:14" ht="15">
      <c r="A74" s="2"/>
      <c r="C74" s="24" t="s">
        <v>593</v>
      </c>
      <c r="D74" s="24"/>
      <c r="F74" s="25">
        <v>937</v>
      </c>
      <c r="M74" s="26"/>
      <c r="N74" s="2"/>
    </row>
    <row r="75" spans="1:47" ht="15">
      <c r="A75" s="41"/>
      <c r="B75" s="42" t="s">
        <v>175</v>
      </c>
      <c r="C75" s="637" t="s">
        <v>176</v>
      </c>
      <c r="D75" s="638"/>
      <c r="E75" s="43" t="s">
        <v>4</v>
      </c>
      <c r="F75" s="43" t="s">
        <v>4</v>
      </c>
      <c r="G75" s="43" t="s">
        <v>4</v>
      </c>
      <c r="H75" s="44">
        <f>SUM(H76:H78)</f>
        <v>0</v>
      </c>
      <c r="I75" s="44">
        <f>SUM(I76:I78)</f>
        <v>0</v>
      </c>
      <c r="J75" s="44">
        <f>SUM(J76:J78)</f>
        <v>0</v>
      </c>
      <c r="K75" s="45"/>
      <c r="L75" s="44">
        <f>SUM(L76:L78)</f>
        <v>122.42841999999999</v>
      </c>
      <c r="M75" s="46"/>
      <c r="N75" s="2"/>
      <c r="AI75" s="10"/>
      <c r="AS75" s="19">
        <f>SUM(AJ76:AJ78)</f>
        <v>0</v>
      </c>
      <c r="AT75" s="19">
        <f>SUM(AK76:AK78)</f>
        <v>0</v>
      </c>
      <c r="AU75" s="19">
        <f>SUM(AL76:AL78)</f>
        <v>0</v>
      </c>
    </row>
    <row r="76" spans="1:64" ht="15">
      <c r="A76" s="20" t="s">
        <v>70</v>
      </c>
      <c r="B76" s="3" t="s">
        <v>178</v>
      </c>
      <c r="C76" s="618" t="s">
        <v>179</v>
      </c>
      <c r="D76" s="608"/>
      <c r="E76" s="3" t="s">
        <v>54</v>
      </c>
      <c r="F76" s="21">
        <v>937</v>
      </c>
      <c r="G76" s="537"/>
      <c r="H76" s="21">
        <f>F76*AO76</f>
        <v>0</v>
      </c>
      <c r="I76" s="21">
        <f>F76*AP76</f>
        <v>0</v>
      </c>
      <c r="J76" s="21">
        <f>F76*G76</f>
        <v>0</v>
      </c>
      <c r="K76" s="21">
        <v>0.12966</v>
      </c>
      <c r="L76" s="21">
        <f>F76*K76</f>
        <v>121.49141999999999</v>
      </c>
      <c r="M76" s="22" t="s">
        <v>55</v>
      </c>
      <c r="N76" s="2"/>
      <c r="Z76" s="21">
        <f>IF(AQ76="5",BJ76,0)</f>
        <v>0</v>
      </c>
      <c r="AB76" s="21">
        <f>IF(AQ76="1",BH76,0)</f>
        <v>0</v>
      </c>
      <c r="AC76" s="21">
        <f>IF(AQ76="1",BI76,0)</f>
        <v>0</v>
      </c>
      <c r="AD76" s="21">
        <f>IF(AQ76="7",BH76,0)</f>
        <v>0</v>
      </c>
      <c r="AE76" s="21">
        <f>IF(AQ76="7",BI76,0)</f>
        <v>0</v>
      </c>
      <c r="AF76" s="21">
        <f>IF(AQ76="2",BH76,0)</f>
        <v>0</v>
      </c>
      <c r="AG76" s="21">
        <f>IF(AQ76="2",BI76,0)</f>
        <v>0</v>
      </c>
      <c r="AH76" s="21">
        <f>IF(AQ76="0",BJ76,0)</f>
        <v>0</v>
      </c>
      <c r="AI76" s="10"/>
      <c r="AJ76" s="21">
        <f>IF(AN76=0,J76,0)</f>
        <v>0</v>
      </c>
      <c r="AK76" s="21">
        <f>IF(AN76=15,J76,0)</f>
        <v>0</v>
      </c>
      <c r="AL76" s="21">
        <f>IF(AN76=21,J76,0)</f>
        <v>0</v>
      </c>
      <c r="AN76" s="21">
        <v>21</v>
      </c>
      <c r="AO76" s="21">
        <f>G76*0.903884156729131</f>
        <v>0</v>
      </c>
      <c r="AP76" s="21">
        <f>G76*(1-0.903884156729131)</f>
        <v>0</v>
      </c>
      <c r="AQ76" s="23" t="s">
        <v>51</v>
      </c>
      <c r="AV76" s="21">
        <f>AW76+AX76</f>
        <v>0</v>
      </c>
      <c r="AW76" s="21">
        <f>F76*AO76</f>
        <v>0</v>
      </c>
      <c r="AX76" s="21">
        <f>F76*AP76</f>
        <v>0</v>
      </c>
      <c r="AY76" s="23" t="s">
        <v>180</v>
      </c>
      <c r="AZ76" s="23" t="s">
        <v>137</v>
      </c>
      <c r="BA76" s="10" t="s">
        <v>58</v>
      </c>
      <c r="BC76" s="21">
        <f>AW76+AX76</f>
        <v>0</v>
      </c>
      <c r="BD76" s="21">
        <f>G76/(100-BE76)*100</f>
        <v>0</v>
      </c>
      <c r="BE76" s="21">
        <v>0</v>
      </c>
      <c r="BF76" s="21">
        <f>L76</f>
        <v>121.49141999999999</v>
      </c>
      <c r="BH76" s="21">
        <f>F76*AO76</f>
        <v>0</v>
      </c>
      <c r="BI76" s="21">
        <f>F76*AP76</f>
        <v>0</v>
      </c>
      <c r="BJ76" s="21">
        <f>F76*G76</f>
        <v>0</v>
      </c>
      <c r="BK76" s="21" t="s">
        <v>59</v>
      </c>
      <c r="BL76" s="21">
        <v>57</v>
      </c>
    </row>
    <row r="77" spans="1:14" ht="15">
      <c r="A77" s="2"/>
      <c r="C77" s="24" t="s">
        <v>593</v>
      </c>
      <c r="D77" s="24"/>
      <c r="F77" s="25">
        <v>937</v>
      </c>
      <c r="M77" s="26"/>
      <c r="N77" s="2"/>
    </row>
    <row r="78" spans="1:64" ht="15">
      <c r="A78" s="20" t="s">
        <v>172</v>
      </c>
      <c r="B78" s="3" t="s">
        <v>182</v>
      </c>
      <c r="C78" s="618" t="s">
        <v>183</v>
      </c>
      <c r="D78" s="608"/>
      <c r="E78" s="3" t="s">
        <v>54</v>
      </c>
      <c r="F78" s="21">
        <v>1874</v>
      </c>
      <c r="G78" s="537"/>
      <c r="H78" s="21">
        <f>F78*AO78</f>
        <v>0</v>
      </c>
      <c r="I78" s="21">
        <f>F78*AP78</f>
        <v>0</v>
      </c>
      <c r="J78" s="21">
        <f>F78*G78</f>
        <v>0</v>
      </c>
      <c r="K78" s="21">
        <v>0.0005</v>
      </c>
      <c r="L78" s="21">
        <f>F78*K78</f>
        <v>0.937</v>
      </c>
      <c r="M78" s="22" t="s">
        <v>55</v>
      </c>
      <c r="N78" s="2"/>
      <c r="Z78" s="21">
        <f>IF(AQ78="5",BJ78,0)</f>
        <v>0</v>
      </c>
      <c r="AB78" s="21">
        <f>IF(AQ78="1",BH78,0)</f>
        <v>0</v>
      </c>
      <c r="AC78" s="21">
        <f>IF(AQ78="1",BI78,0)</f>
        <v>0</v>
      </c>
      <c r="AD78" s="21">
        <f>IF(AQ78="7",BH78,0)</f>
        <v>0</v>
      </c>
      <c r="AE78" s="21">
        <f>IF(AQ78="7",BI78,0)</f>
        <v>0</v>
      </c>
      <c r="AF78" s="21">
        <f>IF(AQ78="2",BH78,0)</f>
        <v>0</v>
      </c>
      <c r="AG78" s="21">
        <f>IF(AQ78="2",BI78,0)</f>
        <v>0</v>
      </c>
      <c r="AH78" s="21">
        <f>IF(AQ78="0",BJ78,0)</f>
        <v>0</v>
      </c>
      <c r="AI78" s="10"/>
      <c r="AJ78" s="21">
        <f>IF(AN78=0,J78,0)</f>
        <v>0</v>
      </c>
      <c r="AK78" s="21">
        <f>IF(AN78=15,J78,0)</f>
        <v>0</v>
      </c>
      <c r="AL78" s="21">
        <f>IF(AN78=21,J78,0)</f>
        <v>0</v>
      </c>
      <c r="AN78" s="21">
        <v>21</v>
      </c>
      <c r="AO78" s="21">
        <f>G78*0.855054811205846</f>
        <v>0</v>
      </c>
      <c r="AP78" s="21">
        <f>G78*(1-0.855054811205846)</f>
        <v>0</v>
      </c>
      <c r="AQ78" s="23" t="s">
        <v>51</v>
      </c>
      <c r="AV78" s="21">
        <f>AW78+AX78</f>
        <v>0</v>
      </c>
      <c r="AW78" s="21">
        <f>F78*AO78</f>
        <v>0</v>
      </c>
      <c r="AX78" s="21">
        <f>F78*AP78</f>
        <v>0</v>
      </c>
      <c r="AY78" s="23" t="s">
        <v>180</v>
      </c>
      <c r="AZ78" s="23" t="s">
        <v>137</v>
      </c>
      <c r="BA78" s="10" t="s">
        <v>58</v>
      </c>
      <c r="BC78" s="21">
        <f>AW78+AX78</f>
        <v>0</v>
      </c>
      <c r="BD78" s="21">
        <f>G78/(100-BE78)*100</f>
        <v>0</v>
      </c>
      <c r="BE78" s="21">
        <v>0</v>
      </c>
      <c r="BF78" s="21">
        <f>L78</f>
        <v>0.937</v>
      </c>
      <c r="BH78" s="21">
        <f>F78*AO78</f>
        <v>0</v>
      </c>
      <c r="BI78" s="21">
        <f>F78*AP78</f>
        <v>0</v>
      </c>
      <c r="BJ78" s="21">
        <f>F78*G78</f>
        <v>0</v>
      </c>
      <c r="BK78" s="21" t="s">
        <v>59</v>
      </c>
      <c r="BL78" s="21">
        <v>57</v>
      </c>
    </row>
    <row r="79" spans="1:14" ht="15">
      <c r="A79" s="2"/>
      <c r="C79" s="24" t="s">
        <v>595</v>
      </c>
      <c r="D79" s="24"/>
      <c r="F79" s="25">
        <v>1874</v>
      </c>
      <c r="M79" s="26"/>
      <c r="N79" s="2"/>
    </row>
    <row r="80" spans="1:47" ht="15">
      <c r="A80" s="41"/>
      <c r="B80" s="42" t="s">
        <v>185</v>
      </c>
      <c r="C80" s="637" t="s">
        <v>186</v>
      </c>
      <c r="D80" s="638"/>
      <c r="E80" s="43" t="s">
        <v>4</v>
      </c>
      <c r="F80" s="43" t="s">
        <v>4</v>
      </c>
      <c r="G80" s="43" t="s">
        <v>4</v>
      </c>
      <c r="H80" s="44">
        <f>SUM(H81:H115)</f>
        <v>0</v>
      </c>
      <c r="I80" s="44">
        <f>SUM(I81:I115)</f>
        <v>0</v>
      </c>
      <c r="J80" s="44">
        <f>SUM(J81:J115)</f>
        <v>0</v>
      </c>
      <c r="K80" s="45"/>
      <c r="L80" s="44">
        <f>SUM(L81:L115)</f>
        <v>102.92545000000001</v>
      </c>
      <c r="M80" s="46"/>
      <c r="N80" s="2"/>
      <c r="AI80" s="10"/>
      <c r="AS80" s="19">
        <f>SUM(AJ81:AJ115)</f>
        <v>0</v>
      </c>
      <c r="AT80" s="19">
        <f>SUM(AK81:AK115)</f>
        <v>0</v>
      </c>
      <c r="AU80" s="19">
        <f>SUM(AL81:AL115)</f>
        <v>0</v>
      </c>
    </row>
    <row r="81" spans="1:64" ht="15">
      <c r="A81" s="20" t="s">
        <v>177</v>
      </c>
      <c r="B81" s="3" t="s">
        <v>188</v>
      </c>
      <c r="C81" s="618" t="s">
        <v>189</v>
      </c>
      <c r="D81" s="608"/>
      <c r="E81" s="3" t="s">
        <v>54</v>
      </c>
      <c r="F81" s="21">
        <v>125</v>
      </c>
      <c r="G81" s="537"/>
      <c r="H81" s="21">
        <f>F81*AO81</f>
        <v>0</v>
      </c>
      <c r="I81" s="21">
        <f>F81*AP81</f>
        <v>0</v>
      </c>
      <c r="J81" s="21">
        <f>F81*G81</f>
        <v>0</v>
      </c>
      <c r="K81" s="21">
        <v>0.0739</v>
      </c>
      <c r="L81" s="21">
        <f>F81*K81</f>
        <v>9.237499999999999</v>
      </c>
      <c r="M81" s="22" t="s">
        <v>55</v>
      </c>
      <c r="N81" s="2"/>
      <c r="Z81" s="21">
        <f>IF(AQ81="5",BJ81,0)</f>
        <v>0</v>
      </c>
      <c r="AB81" s="21">
        <f>IF(AQ81="1",BH81,0)</f>
        <v>0</v>
      </c>
      <c r="AC81" s="21">
        <f>IF(AQ81="1",BI81,0)</f>
        <v>0</v>
      </c>
      <c r="AD81" s="21">
        <f>IF(AQ81="7",BH81,0)</f>
        <v>0</v>
      </c>
      <c r="AE81" s="21">
        <f>IF(AQ81="7",BI81,0)</f>
        <v>0</v>
      </c>
      <c r="AF81" s="21">
        <f>IF(AQ81="2",BH81,0)</f>
        <v>0</v>
      </c>
      <c r="AG81" s="21">
        <f>IF(AQ81="2",BI81,0)</f>
        <v>0</v>
      </c>
      <c r="AH81" s="21">
        <f>IF(AQ81="0",BJ81,0)</f>
        <v>0</v>
      </c>
      <c r="AI81" s="10"/>
      <c r="AJ81" s="21">
        <f>IF(AN81=0,J81,0)</f>
        <v>0</v>
      </c>
      <c r="AK81" s="21">
        <f>IF(AN81=15,J81,0)</f>
        <v>0</v>
      </c>
      <c r="AL81" s="21">
        <f>IF(AN81=21,J81,0)</f>
        <v>0</v>
      </c>
      <c r="AN81" s="21">
        <v>21</v>
      </c>
      <c r="AO81" s="21">
        <f>G81*0.144991452991453</f>
        <v>0</v>
      </c>
      <c r="AP81" s="21">
        <f>G81*(1-0.144991452991453)</f>
        <v>0</v>
      </c>
      <c r="AQ81" s="23" t="s">
        <v>51</v>
      </c>
      <c r="AV81" s="21">
        <f>AW81+AX81</f>
        <v>0</v>
      </c>
      <c r="AW81" s="21">
        <f>F81*AO81</f>
        <v>0</v>
      </c>
      <c r="AX81" s="21">
        <f>F81*AP81</f>
        <v>0</v>
      </c>
      <c r="AY81" s="23" t="s">
        <v>190</v>
      </c>
      <c r="AZ81" s="23" t="s">
        <v>137</v>
      </c>
      <c r="BA81" s="10" t="s">
        <v>58</v>
      </c>
      <c r="BC81" s="21">
        <f>AW81+AX81</f>
        <v>0</v>
      </c>
      <c r="BD81" s="21">
        <f>G81/(100-BE81)*100</f>
        <v>0</v>
      </c>
      <c r="BE81" s="21">
        <v>0</v>
      </c>
      <c r="BF81" s="21">
        <f>L81</f>
        <v>9.237499999999999</v>
      </c>
      <c r="BH81" s="21">
        <f>F81*AO81</f>
        <v>0</v>
      </c>
      <c r="BI81" s="21">
        <f>F81*AP81</f>
        <v>0</v>
      </c>
      <c r="BJ81" s="21">
        <f>F81*G81</f>
        <v>0</v>
      </c>
      <c r="BK81" s="21" t="s">
        <v>59</v>
      </c>
      <c r="BL81" s="21">
        <v>59</v>
      </c>
    </row>
    <row r="82" spans="1:14" ht="15">
      <c r="A82" s="2"/>
      <c r="C82" s="24" t="s">
        <v>596</v>
      </c>
      <c r="D82" s="24"/>
      <c r="F82" s="25">
        <v>125</v>
      </c>
      <c r="M82" s="26"/>
      <c r="N82" s="2"/>
    </row>
    <row r="83" spans="1:14" ht="25.65" customHeight="1">
      <c r="A83" s="2"/>
      <c r="B83" s="27" t="s">
        <v>61</v>
      </c>
      <c r="C83" s="634" t="s">
        <v>197</v>
      </c>
      <c r="D83" s="635"/>
      <c r="E83" s="635"/>
      <c r="F83" s="635"/>
      <c r="G83" s="635"/>
      <c r="H83" s="635"/>
      <c r="I83" s="635"/>
      <c r="J83" s="635"/>
      <c r="K83" s="635"/>
      <c r="L83" s="635"/>
      <c r="M83" s="636"/>
      <c r="N83" s="2"/>
    </row>
    <row r="84" spans="1:64" ht="15">
      <c r="A84" s="20" t="s">
        <v>181</v>
      </c>
      <c r="B84" s="3" t="s">
        <v>199</v>
      </c>
      <c r="C84" s="618" t="s">
        <v>200</v>
      </c>
      <c r="D84" s="608"/>
      <c r="E84" s="3" t="s">
        <v>54</v>
      </c>
      <c r="F84" s="21">
        <v>33.075</v>
      </c>
      <c r="G84" s="537"/>
      <c r="H84" s="21">
        <f>F84*AO84</f>
        <v>0</v>
      </c>
      <c r="I84" s="21">
        <f>F84*AP84</f>
        <v>0</v>
      </c>
      <c r="J84" s="21">
        <f>F84*G84</f>
        <v>0</v>
      </c>
      <c r="K84" s="21">
        <v>0.188</v>
      </c>
      <c r="L84" s="21">
        <f>F84*K84</f>
        <v>6.218100000000001</v>
      </c>
      <c r="M84" s="22" t="s">
        <v>55</v>
      </c>
      <c r="N84" s="2"/>
      <c r="Z84" s="21">
        <f>IF(AQ84="5",BJ84,0)</f>
        <v>0</v>
      </c>
      <c r="AB84" s="21">
        <f>IF(AQ84="1",BH84,0)</f>
        <v>0</v>
      </c>
      <c r="AC84" s="21">
        <f>IF(AQ84="1",BI84,0)</f>
        <v>0</v>
      </c>
      <c r="AD84" s="21">
        <f>IF(AQ84="7",BH84,0)</f>
        <v>0</v>
      </c>
      <c r="AE84" s="21">
        <f>IF(AQ84="7",BI84,0)</f>
        <v>0</v>
      </c>
      <c r="AF84" s="21">
        <f>IF(AQ84="2",BH84,0)</f>
        <v>0</v>
      </c>
      <c r="AG84" s="21">
        <f>IF(AQ84="2",BI84,0)</f>
        <v>0</v>
      </c>
      <c r="AH84" s="21">
        <f>IF(AQ84="0",BJ84,0)</f>
        <v>0</v>
      </c>
      <c r="AI84" s="10"/>
      <c r="AJ84" s="21">
        <f>IF(AN84=0,J84,0)</f>
        <v>0</v>
      </c>
      <c r="AK84" s="21">
        <f>IF(AN84=15,J84,0)</f>
        <v>0</v>
      </c>
      <c r="AL84" s="21">
        <f>IF(AN84=21,J84,0)</f>
        <v>0</v>
      </c>
      <c r="AN84" s="21">
        <v>21</v>
      </c>
      <c r="AO84" s="21">
        <f>G84*1</f>
        <v>0</v>
      </c>
      <c r="AP84" s="21">
        <f>G84*(1-1)</f>
        <v>0</v>
      </c>
      <c r="AQ84" s="23" t="s">
        <v>51</v>
      </c>
      <c r="AV84" s="21">
        <f>AW84+AX84</f>
        <v>0</v>
      </c>
      <c r="AW84" s="21">
        <f>F84*AO84</f>
        <v>0</v>
      </c>
      <c r="AX84" s="21">
        <f>F84*AP84</f>
        <v>0</v>
      </c>
      <c r="AY84" s="23" t="s">
        <v>190</v>
      </c>
      <c r="AZ84" s="23" t="s">
        <v>137</v>
      </c>
      <c r="BA84" s="10" t="s">
        <v>58</v>
      </c>
      <c r="BC84" s="21">
        <f>AW84+AX84</f>
        <v>0</v>
      </c>
      <c r="BD84" s="21">
        <f>G84/(100-BE84)*100</f>
        <v>0</v>
      </c>
      <c r="BE84" s="21">
        <v>0</v>
      </c>
      <c r="BF84" s="21">
        <f>L84</f>
        <v>6.218100000000001</v>
      </c>
      <c r="BH84" s="21">
        <f>F84*AO84</f>
        <v>0</v>
      </c>
      <c r="BI84" s="21">
        <f>F84*AP84</f>
        <v>0</v>
      </c>
      <c r="BJ84" s="21">
        <f>F84*G84</f>
        <v>0</v>
      </c>
      <c r="BK84" s="21" t="s">
        <v>201</v>
      </c>
      <c r="BL84" s="21">
        <v>59</v>
      </c>
    </row>
    <row r="85" spans="1:14" ht="15">
      <c r="A85" s="2"/>
      <c r="C85" s="24" t="s">
        <v>597</v>
      </c>
      <c r="D85" s="24"/>
      <c r="F85" s="25">
        <v>31.5</v>
      </c>
      <c r="M85" s="26"/>
      <c r="N85" s="2"/>
    </row>
    <row r="86" spans="1:14" ht="15">
      <c r="A86" s="2"/>
      <c r="C86" s="24" t="s">
        <v>598</v>
      </c>
      <c r="D86" s="24"/>
      <c r="F86" s="25">
        <v>1.575</v>
      </c>
      <c r="M86" s="26"/>
      <c r="N86" s="2"/>
    </row>
    <row r="87" spans="1:64" ht="15">
      <c r="A87" s="20" t="s">
        <v>187</v>
      </c>
      <c r="B87" s="3" t="s">
        <v>207</v>
      </c>
      <c r="C87" s="618" t="s">
        <v>208</v>
      </c>
      <c r="D87" s="608"/>
      <c r="E87" s="3" t="s">
        <v>54</v>
      </c>
      <c r="F87" s="21">
        <v>93.45</v>
      </c>
      <c r="G87" s="537"/>
      <c r="H87" s="21">
        <f>F87*AO87</f>
        <v>0</v>
      </c>
      <c r="I87" s="21">
        <f>F87*AP87</f>
        <v>0</v>
      </c>
      <c r="J87" s="21">
        <f>F87*G87</f>
        <v>0</v>
      </c>
      <c r="K87" s="21">
        <v>0.188</v>
      </c>
      <c r="L87" s="21">
        <f>F87*K87</f>
        <v>17.5686</v>
      </c>
      <c r="M87" s="22" t="s">
        <v>55</v>
      </c>
      <c r="N87" s="2"/>
      <c r="Z87" s="21">
        <f>IF(AQ87="5",BJ87,0)</f>
        <v>0</v>
      </c>
      <c r="AB87" s="21">
        <f>IF(AQ87="1",BH87,0)</f>
        <v>0</v>
      </c>
      <c r="AC87" s="21">
        <f>IF(AQ87="1",BI87,0)</f>
        <v>0</v>
      </c>
      <c r="AD87" s="21">
        <f>IF(AQ87="7",BH87,0)</f>
        <v>0</v>
      </c>
      <c r="AE87" s="21">
        <f>IF(AQ87="7",BI87,0)</f>
        <v>0</v>
      </c>
      <c r="AF87" s="21">
        <f>IF(AQ87="2",BH87,0)</f>
        <v>0</v>
      </c>
      <c r="AG87" s="21">
        <f>IF(AQ87="2",BI87,0)</f>
        <v>0</v>
      </c>
      <c r="AH87" s="21">
        <f>IF(AQ87="0",BJ87,0)</f>
        <v>0</v>
      </c>
      <c r="AI87" s="10"/>
      <c r="AJ87" s="21">
        <f>IF(AN87=0,J87,0)</f>
        <v>0</v>
      </c>
      <c r="AK87" s="21">
        <f>IF(AN87=15,J87,0)</f>
        <v>0</v>
      </c>
      <c r="AL87" s="21">
        <f>IF(AN87=21,J87,0)</f>
        <v>0</v>
      </c>
      <c r="AN87" s="21">
        <v>21</v>
      </c>
      <c r="AO87" s="21">
        <f>G87*1</f>
        <v>0</v>
      </c>
      <c r="AP87" s="21">
        <f>G87*(1-1)</f>
        <v>0</v>
      </c>
      <c r="AQ87" s="23" t="s">
        <v>51</v>
      </c>
      <c r="AV87" s="21">
        <f>AW87+AX87</f>
        <v>0</v>
      </c>
      <c r="AW87" s="21">
        <f>F87*AO87</f>
        <v>0</v>
      </c>
      <c r="AX87" s="21">
        <f>F87*AP87</f>
        <v>0</v>
      </c>
      <c r="AY87" s="23" t="s">
        <v>190</v>
      </c>
      <c r="AZ87" s="23" t="s">
        <v>137</v>
      </c>
      <c r="BA87" s="10" t="s">
        <v>58</v>
      </c>
      <c r="BC87" s="21">
        <f>AW87+AX87</f>
        <v>0</v>
      </c>
      <c r="BD87" s="21">
        <f>G87/(100-BE87)*100</f>
        <v>0</v>
      </c>
      <c r="BE87" s="21">
        <v>0</v>
      </c>
      <c r="BF87" s="21">
        <f>L87</f>
        <v>17.5686</v>
      </c>
      <c r="BH87" s="21">
        <f>F87*AO87</f>
        <v>0</v>
      </c>
      <c r="BI87" s="21">
        <f>F87*AP87</f>
        <v>0</v>
      </c>
      <c r="BJ87" s="21">
        <f>F87*G87</f>
        <v>0</v>
      </c>
      <c r="BK87" s="21" t="s">
        <v>201</v>
      </c>
      <c r="BL87" s="21">
        <v>59</v>
      </c>
    </row>
    <row r="88" spans="1:14" ht="15">
      <c r="A88" s="2"/>
      <c r="C88" s="24" t="s">
        <v>599</v>
      </c>
      <c r="D88" s="24"/>
      <c r="F88" s="25">
        <v>89</v>
      </c>
      <c r="M88" s="26"/>
      <c r="N88" s="2"/>
    </row>
    <row r="89" spans="1:14" ht="15">
      <c r="A89" s="2"/>
      <c r="C89" s="24" t="s">
        <v>600</v>
      </c>
      <c r="D89" s="24"/>
      <c r="F89" s="25">
        <v>4.45</v>
      </c>
      <c r="M89" s="26"/>
      <c r="N89" s="2"/>
    </row>
    <row r="90" spans="1:64" ht="15">
      <c r="A90" s="20" t="s">
        <v>198</v>
      </c>
      <c r="B90" s="3" t="s">
        <v>491</v>
      </c>
      <c r="C90" s="618" t="s">
        <v>492</v>
      </c>
      <c r="D90" s="608"/>
      <c r="E90" s="3" t="s">
        <v>54</v>
      </c>
      <c r="F90" s="21">
        <v>4.725</v>
      </c>
      <c r="G90" s="537"/>
      <c r="H90" s="21">
        <f>F90*AO90</f>
        <v>0</v>
      </c>
      <c r="I90" s="21">
        <f>F90*AP90</f>
        <v>0</v>
      </c>
      <c r="J90" s="21">
        <f>F90*G90</f>
        <v>0</v>
      </c>
      <c r="K90" s="21">
        <v>0.176</v>
      </c>
      <c r="L90" s="21">
        <f>F90*K90</f>
        <v>0.8315999999999999</v>
      </c>
      <c r="M90" s="22" t="s">
        <v>55</v>
      </c>
      <c r="N90" s="2"/>
      <c r="Z90" s="21">
        <f>IF(AQ90="5",BJ90,0)</f>
        <v>0</v>
      </c>
      <c r="AB90" s="21">
        <f>IF(AQ90="1",BH90,0)</f>
        <v>0</v>
      </c>
      <c r="AC90" s="21">
        <f>IF(AQ90="1",BI90,0)</f>
        <v>0</v>
      </c>
      <c r="AD90" s="21">
        <f>IF(AQ90="7",BH90,0)</f>
        <v>0</v>
      </c>
      <c r="AE90" s="21">
        <f>IF(AQ90="7",BI90,0)</f>
        <v>0</v>
      </c>
      <c r="AF90" s="21">
        <f>IF(AQ90="2",BH90,0)</f>
        <v>0</v>
      </c>
      <c r="AG90" s="21">
        <f>IF(AQ90="2",BI90,0)</f>
        <v>0</v>
      </c>
      <c r="AH90" s="21">
        <f>IF(AQ90="0",BJ90,0)</f>
        <v>0</v>
      </c>
      <c r="AI90" s="10"/>
      <c r="AJ90" s="21">
        <f>IF(AN90=0,J90,0)</f>
        <v>0</v>
      </c>
      <c r="AK90" s="21">
        <f>IF(AN90=15,J90,0)</f>
        <v>0</v>
      </c>
      <c r="AL90" s="21">
        <f>IF(AN90=21,J90,0)</f>
        <v>0</v>
      </c>
      <c r="AN90" s="21">
        <v>21</v>
      </c>
      <c r="AO90" s="21">
        <f>G90*1</f>
        <v>0</v>
      </c>
      <c r="AP90" s="21">
        <f>G90*(1-1)</f>
        <v>0</v>
      </c>
      <c r="AQ90" s="23" t="s">
        <v>51</v>
      </c>
      <c r="AV90" s="21">
        <f>AW90+AX90</f>
        <v>0</v>
      </c>
      <c r="AW90" s="21">
        <f>F90*AO90</f>
        <v>0</v>
      </c>
      <c r="AX90" s="21">
        <f>F90*AP90</f>
        <v>0</v>
      </c>
      <c r="AY90" s="23" t="s">
        <v>190</v>
      </c>
      <c r="AZ90" s="23" t="s">
        <v>137</v>
      </c>
      <c r="BA90" s="10" t="s">
        <v>58</v>
      </c>
      <c r="BC90" s="21">
        <f>AW90+AX90</f>
        <v>0</v>
      </c>
      <c r="BD90" s="21">
        <f>G90/(100-BE90)*100</f>
        <v>0</v>
      </c>
      <c r="BE90" s="21">
        <v>0</v>
      </c>
      <c r="BF90" s="21">
        <f>L90</f>
        <v>0.8315999999999999</v>
      </c>
      <c r="BH90" s="21">
        <f>F90*AO90</f>
        <v>0</v>
      </c>
      <c r="BI90" s="21">
        <f>F90*AP90</f>
        <v>0</v>
      </c>
      <c r="BJ90" s="21">
        <f>F90*G90</f>
        <v>0</v>
      </c>
      <c r="BK90" s="21" t="s">
        <v>201</v>
      </c>
      <c r="BL90" s="21">
        <v>59</v>
      </c>
    </row>
    <row r="91" spans="1:14" ht="15">
      <c r="A91" s="2"/>
      <c r="C91" s="24" t="s">
        <v>497</v>
      </c>
      <c r="D91" s="24"/>
      <c r="F91" s="25">
        <v>4.5</v>
      </c>
      <c r="M91" s="26"/>
      <c r="N91" s="2"/>
    </row>
    <row r="92" spans="1:14" ht="15">
      <c r="A92" s="2"/>
      <c r="C92" s="24" t="s">
        <v>498</v>
      </c>
      <c r="D92" s="24"/>
      <c r="F92" s="25">
        <v>0.225</v>
      </c>
      <c r="M92" s="26"/>
      <c r="N92" s="2"/>
    </row>
    <row r="93" spans="1:14" ht="15">
      <c r="A93" s="2"/>
      <c r="B93" s="27" t="s">
        <v>61</v>
      </c>
      <c r="C93" s="634"/>
      <c r="D93" s="635"/>
      <c r="E93" s="635"/>
      <c r="F93" s="635"/>
      <c r="G93" s="635"/>
      <c r="H93" s="635"/>
      <c r="I93" s="635"/>
      <c r="J93" s="635"/>
      <c r="K93" s="635"/>
      <c r="L93" s="635"/>
      <c r="M93" s="636"/>
      <c r="N93" s="2"/>
    </row>
    <row r="94" spans="1:64" ht="15">
      <c r="A94" s="20" t="s">
        <v>206</v>
      </c>
      <c r="B94" s="3" t="s">
        <v>222</v>
      </c>
      <c r="C94" s="618" t="s">
        <v>223</v>
      </c>
      <c r="D94" s="608"/>
      <c r="E94" s="3" t="s">
        <v>54</v>
      </c>
      <c r="F94" s="21">
        <v>4</v>
      </c>
      <c r="G94" s="537"/>
      <c r="H94" s="21">
        <f>F94*AO94</f>
        <v>0</v>
      </c>
      <c r="I94" s="21">
        <f>F94*AP94</f>
        <v>0</v>
      </c>
      <c r="J94" s="21">
        <f>F94*G94</f>
        <v>0</v>
      </c>
      <c r="K94" s="21">
        <v>0</v>
      </c>
      <c r="L94" s="21">
        <f>F94*K94</f>
        <v>0</v>
      </c>
      <c r="M94" s="22" t="s">
        <v>55</v>
      </c>
      <c r="N94" s="2"/>
      <c r="Z94" s="21">
        <f>IF(AQ94="5",BJ94,0)</f>
        <v>0</v>
      </c>
      <c r="AB94" s="21">
        <f>IF(AQ94="1",BH94,0)</f>
        <v>0</v>
      </c>
      <c r="AC94" s="21">
        <f>IF(AQ94="1",BI94,0)</f>
        <v>0</v>
      </c>
      <c r="AD94" s="21">
        <f>IF(AQ94="7",BH94,0)</f>
        <v>0</v>
      </c>
      <c r="AE94" s="21">
        <f>IF(AQ94="7",BI94,0)</f>
        <v>0</v>
      </c>
      <c r="AF94" s="21">
        <f>IF(AQ94="2",BH94,0)</f>
        <v>0</v>
      </c>
      <c r="AG94" s="21">
        <f>IF(AQ94="2",BI94,0)</f>
        <v>0</v>
      </c>
      <c r="AH94" s="21">
        <f>IF(AQ94="0",BJ94,0)</f>
        <v>0</v>
      </c>
      <c r="AI94" s="10"/>
      <c r="AJ94" s="21">
        <f>IF(AN94=0,J94,0)</f>
        <v>0</v>
      </c>
      <c r="AK94" s="21">
        <f>IF(AN94=15,J94,0)</f>
        <v>0</v>
      </c>
      <c r="AL94" s="21">
        <f>IF(AN94=21,J94,0)</f>
        <v>0</v>
      </c>
      <c r="AN94" s="21">
        <v>21</v>
      </c>
      <c r="AO94" s="21">
        <f>G94*0</f>
        <v>0</v>
      </c>
      <c r="AP94" s="21">
        <f>G94*(1-0)</f>
        <v>0</v>
      </c>
      <c r="AQ94" s="23" t="s">
        <v>51</v>
      </c>
      <c r="AV94" s="21">
        <f>AW94+AX94</f>
        <v>0</v>
      </c>
      <c r="AW94" s="21">
        <f>F94*AO94</f>
        <v>0</v>
      </c>
      <c r="AX94" s="21">
        <f>F94*AP94</f>
        <v>0</v>
      </c>
      <c r="AY94" s="23" t="s">
        <v>190</v>
      </c>
      <c r="AZ94" s="23" t="s">
        <v>137</v>
      </c>
      <c r="BA94" s="10" t="s">
        <v>58</v>
      </c>
      <c r="BC94" s="21">
        <f>AW94+AX94</f>
        <v>0</v>
      </c>
      <c r="BD94" s="21">
        <f>G94/(100-BE94)*100</f>
        <v>0</v>
      </c>
      <c r="BE94" s="21">
        <v>0</v>
      </c>
      <c r="BF94" s="21">
        <f>L94</f>
        <v>0</v>
      </c>
      <c r="BH94" s="21">
        <f>F94*AO94</f>
        <v>0</v>
      </c>
      <c r="BI94" s="21">
        <f>F94*AP94</f>
        <v>0</v>
      </c>
      <c r="BJ94" s="21">
        <f>F94*G94</f>
        <v>0</v>
      </c>
      <c r="BK94" s="21" t="s">
        <v>59</v>
      </c>
      <c r="BL94" s="21">
        <v>59</v>
      </c>
    </row>
    <row r="95" spans="1:14" ht="15">
      <c r="A95" s="2"/>
      <c r="C95" s="24" t="s">
        <v>71</v>
      </c>
      <c r="D95" s="24"/>
      <c r="F95" s="25">
        <v>4</v>
      </c>
      <c r="M95" s="26"/>
      <c r="N95" s="2"/>
    </row>
    <row r="96" spans="1:14" ht="15">
      <c r="A96" s="2"/>
      <c r="B96" s="27" t="s">
        <v>61</v>
      </c>
      <c r="C96" s="634" t="s">
        <v>225</v>
      </c>
      <c r="D96" s="635"/>
      <c r="E96" s="635"/>
      <c r="F96" s="635"/>
      <c r="G96" s="635"/>
      <c r="H96" s="635"/>
      <c r="I96" s="635"/>
      <c r="J96" s="635"/>
      <c r="K96" s="635"/>
      <c r="L96" s="635"/>
      <c r="M96" s="636"/>
      <c r="N96" s="2"/>
    </row>
    <row r="97" spans="1:64" ht="15">
      <c r="A97" s="20" t="s">
        <v>211</v>
      </c>
      <c r="B97" s="3" t="s">
        <v>230</v>
      </c>
      <c r="C97" s="618" t="s">
        <v>231</v>
      </c>
      <c r="D97" s="608"/>
      <c r="E97" s="3" t="s">
        <v>74</v>
      </c>
      <c r="F97" s="21">
        <v>60</v>
      </c>
      <c r="G97" s="537"/>
      <c r="H97" s="21">
        <f>F97*AO97</f>
        <v>0</v>
      </c>
      <c r="I97" s="21">
        <f>F97*AP97</f>
        <v>0</v>
      </c>
      <c r="J97" s="21">
        <f>F97*G97</f>
        <v>0</v>
      </c>
      <c r="K97" s="21">
        <v>0.00036</v>
      </c>
      <c r="L97" s="21">
        <f>F97*K97</f>
        <v>0.0216</v>
      </c>
      <c r="M97" s="22" t="s">
        <v>55</v>
      </c>
      <c r="N97" s="2"/>
      <c r="Z97" s="21">
        <f>IF(AQ97="5",BJ97,0)</f>
        <v>0</v>
      </c>
      <c r="AB97" s="21">
        <f>IF(AQ97="1",BH97,0)</f>
        <v>0</v>
      </c>
      <c r="AC97" s="21">
        <f>IF(AQ97="1",BI97,0)</f>
        <v>0</v>
      </c>
      <c r="AD97" s="21">
        <f>IF(AQ97="7",BH97,0)</f>
        <v>0</v>
      </c>
      <c r="AE97" s="21">
        <f>IF(AQ97="7",BI97,0)</f>
        <v>0</v>
      </c>
      <c r="AF97" s="21">
        <f>IF(AQ97="2",BH97,0)</f>
        <v>0</v>
      </c>
      <c r="AG97" s="21">
        <f>IF(AQ97="2",BI97,0)</f>
        <v>0</v>
      </c>
      <c r="AH97" s="21">
        <f>IF(AQ97="0",BJ97,0)</f>
        <v>0</v>
      </c>
      <c r="AI97" s="10"/>
      <c r="AJ97" s="21">
        <f>IF(AN97=0,J97,0)</f>
        <v>0</v>
      </c>
      <c r="AK97" s="21">
        <f>IF(AN97=15,J97,0)</f>
        <v>0</v>
      </c>
      <c r="AL97" s="21">
        <f>IF(AN97=21,J97,0)</f>
        <v>0</v>
      </c>
      <c r="AN97" s="21">
        <v>21</v>
      </c>
      <c r="AO97" s="21">
        <f>G97*0.0615708812260536</f>
        <v>0</v>
      </c>
      <c r="AP97" s="21">
        <f>G97*(1-0.0615708812260536)</f>
        <v>0</v>
      </c>
      <c r="AQ97" s="23" t="s">
        <v>51</v>
      </c>
      <c r="AV97" s="21">
        <f>AW97+AX97</f>
        <v>0</v>
      </c>
      <c r="AW97" s="21">
        <f>F97*AO97</f>
        <v>0</v>
      </c>
      <c r="AX97" s="21">
        <f>F97*AP97</f>
        <v>0</v>
      </c>
      <c r="AY97" s="23" t="s">
        <v>190</v>
      </c>
      <c r="AZ97" s="23" t="s">
        <v>137</v>
      </c>
      <c r="BA97" s="10" t="s">
        <v>58</v>
      </c>
      <c r="BC97" s="21">
        <f>AW97+AX97</f>
        <v>0</v>
      </c>
      <c r="BD97" s="21">
        <f>G97/(100-BE97)*100</f>
        <v>0</v>
      </c>
      <c r="BE97" s="21">
        <v>0</v>
      </c>
      <c r="BF97" s="21">
        <f>L97</f>
        <v>0.0216</v>
      </c>
      <c r="BH97" s="21">
        <f>F97*AO97</f>
        <v>0</v>
      </c>
      <c r="BI97" s="21">
        <f>F97*AP97</f>
        <v>0</v>
      </c>
      <c r="BJ97" s="21">
        <f>F97*G97</f>
        <v>0</v>
      </c>
      <c r="BK97" s="21" t="s">
        <v>59</v>
      </c>
      <c r="BL97" s="21">
        <v>59</v>
      </c>
    </row>
    <row r="98" spans="1:14" ht="15">
      <c r="A98" s="2"/>
      <c r="C98" s="24" t="s">
        <v>348</v>
      </c>
      <c r="D98" s="24"/>
      <c r="F98" s="25">
        <v>60</v>
      </c>
      <c r="M98" s="26"/>
      <c r="N98" s="2"/>
    </row>
    <row r="99" spans="1:64" ht="15">
      <c r="A99" s="20" t="s">
        <v>108</v>
      </c>
      <c r="B99" s="3" t="s">
        <v>233</v>
      </c>
      <c r="C99" s="618" t="s">
        <v>234</v>
      </c>
      <c r="D99" s="608"/>
      <c r="E99" s="3" t="s">
        <v>54</v>
      </c>
      <c r="F99" s="21">
        <v>326</v>
      </c>
      <c r="G99" s="537"/>
      <c r="H99" s="21">
        <f>F99*AO99</f>
        <v>0</v>
      </c>
      <c r="I99" s="21">
        <f>F99*AP99</f>
        <v>0</v>
      </c>
      <c r="J99" s="21">
        <f>F99*G99</f>
        <v>0</v>
      </c>
      <c r="K99" s="21">
        <v>0.0739</v>
      </c>
      <c r="L99" s="21">
        <f>F99*K99</f>
        <v>24.091399999999997</v>
      </c>
      <c r="M99" s="22" t="s">
        <v>55</v>
      </c>
      <c r="N99" s="2"/>
      <c r="Z99" s="21">
        <f>IF(AQ99="5",BJ99,0)</f>
        <v>0</v>
      </c>
      <c r="AB99" s="21">
        <f>IF(AQ99="1",BH99,0)</f>
        <v>0</v>
      </c>
      <c r="AC99" s="21">
        <f>IF(AQ99="1",BI99,0)</f>
        <v>0</v>
      </c>
      <c r="AD99" s="21">
        <f>IF(AQ99="7",BH99,0)</f>
        <v>0</v>
      </c>
      <c r="AE99" s="21">
        <f>IF(AQ99="7",BI99,0)</f>
        <v>0</v>
      </c>
      <c r="AF99" s="21">
        <f>IF(AQ99="2",BH99,0)</f>
        <v>0</v>
      </c>
      <c r="AG99" s="21">
        <f>IF(AQ99="2",BI99,0)</f>
        <v>0</v>
      </c>
      <c r="AH99" s="21">
        <f>IF(AQ99="0",BJ99,0)</f>
        <v>0</v>
      </c>
      <c r="AI99" s="10"/>
      <c r="AJ99" s="21">
        <f>IF(AN99=0,J99,0)</f>
        <v>0</v>
      </c>
      <c r="AK99" s="21">
        <f>IF(AN99=15,J99,0)</f>
        <v>0</v>
      </c>
      <c r="AL99" s="21">
        <f>IF(AN99=21,J99,0)</f>
        <v>0</v>
      </c>
      <c r="AN99" s="21">
        <v>21</v>
      </c>
      <c r="AO99" s="21">
        <f>G99*0.152280071813285</f>
        <v>0</v>
      </c>
      <c r="AP99" s="21">
        <f>G99*(1-0.152280071813285)</f>
        <v>0</v>
      </c>
      <c r="AQ99" s="23" t="s">
        <v>51</v>
      </c>
      <c r="AV99" s="21">
        <f>AW99+AX99</f>
        <v>0</v>
      </c>
      <c r="AW99" s="21">
        <f>F99*AO99</f>
        <v>0</v>
      </c>
      <c r="AX99" s="21">
        <f>F99*AP99</f>
        <v>0</v>
      </c>
      <c r="AY99" s="23" t="s">
        <v>190</v>
      </c>
      <c r="AZ99" s="23" t="s">
        <v>137</v>
      </c>
      <c r="BA99" s="10" t="s">
        <v>58</v>
      </c>
      <c r="BC99" s="21">
        <f>AW99+AX99</f>
        <v>0</v>
      </c>
      <c r="BD99" s="21">
        <f>G99/(100-BE99)*100</f>
        <v>0</v>
      </c>
      <c r="BE99" s="21">
        <v>0</v>
      </c>
      <c r="BF99" s="21">
        <f>L99</f>
        <v>24.091399999999997</v>
      </c>
      <c r="BH99" s="21">
        <f>F99*AO99</f>
        <v>0</v>
      </c>
      <c r="BI99" s="21">
        <f>F99*AP99</f>
        <v>0</v>
      </c>
      <c r="BJ99" s="21">
        <f>F99*G99</f>
        <v>0</v>
      </c>
      <c r="BK99" s="21" t="s">
        <v>59</v>
      </c>
      <c r="BL99" s="21">
        <v>59</v>
      </c>
    </row>
    <row r="100" spans="1:14" ht="15">
      <c r="A100" s="2"/>
      <c r="C100" s="24" t="s">
        <v>590</v>
      </c>
      <c r="D100" s="24"/>
      <c r="F100" s="25">
        <v>326</v>
      </c>
      <c r="M100" s="26"/>
      <c r="N100" s="2"/>
    </row>
    <row r="101" spans="1:14" ht="25.65" customHeight="1">
      <c r="A101" s="2"/>
      <c r="B101" s="27" t="s">
        <v>61</v>
      </c>
      <c r="C101" s="634" t="s">
        <v>236</v>
      </c>
      <c r="D101" s="635"/>
      <c r="E101" s="635"/>
      <c r="F101" s="635"/>
      <c r="G101" s="635"/>
      <c r="H101" s="635"/>
      <c r="I101" s="635"/>
      <c r="J101" s="635"/>
      <c r="K101" s="635"/>
      <c r="L101" s="635"/>
      <c r="M101" s="636"/>
      <c r="N101" s="2"/>
    </row>
    <row r="102" spans="1:64" ht="15">
      <c r="A102" s="20" t="s">
        <v>221</v>
      </c>
      <c r="B102" s="3" t="s">
        <v>238</v>
      </c>
      <c r="C102" s="618" t="s">
        <v>239</v>
      </c>
      <c r="D102" s="608"/>
      <c r="E102" s="3" t="s">
        <v>54</v>
      </c>
      <c r="F102" s="21">
        <v>337.365</v>
      </c>
      <c r="G102" s="537"/>
      <c r="H102" s="21">
        <f>F102*AO102</f>
        <v>0</v>
      </c>
      <c r="I102" s="21">
        <f>F102*AP102</f>
        <v>0</v>
      </c>
      <c r="J102" s="21">
        <f>F102*G102</f>
        <v>0</v>
      </c>
      <c r="K102" s="21">
        <v>0.131</v>
      </c>
      <c r="L102" s="21">
        <f>F102*K102</f>
        <v>44.194815000000006</v>
      </c>
      <c r="M102" s="22" t="s">
        <v>55</v>
      </c>
      <c r="N102" s="2"/>
      <c r="Z102" s="21">
        <f>IF(AQ102="5",BJ102,0)</f>
        <v>0</v>
      </c>
      <c r="AB102" s="21">
        <f>IF(AQ102="1",BH102,0)</f>
        <v>0</v>
      </c>
      <c r="AC102" s="21">
        <f>IF(AQ102="1",BI102,0)</f>
        <v>0</v>
      </c>
      <c r="AD102" s="21">
        <f>IF(AQ102="7",BH102,0)</f>
        <v>0</v>
      </c>
      <c r="AE102" s="21">
        <f>IF(AQ102="7",BI102,0)</f>
        <v>0</v>
      </c>
      <c r="AF102" s="21">
        <f>IF(AQ102="2",BH102,0)</f>
        <v>0</v>
      </c>
      <c r="AG102" s="21">
        <f>IF(AQ102="2",BI102,0)</f>
        <v>0</v>
      </c>
      <c r="AH102" s="21">
        <f>IF(AQ102="0",BJ102,0)</f>
        <v>0</v>
      </c>
      <c r="AI102" s="10"/>
      <c r="AJ102" s="21">
        <f>IF(AN102=0,J102,0)</f>
        <v>0</v>
      </c>
      <c r="AK102" s="21">
        <f>IF(AN102=15,J102,0)</f>
        <v>0</v>
      </c>
      <c r="AL102" s="21">
        <f>IF(AN102=21,J102,0)</f>
        <v>0</v>
      </c>
      <c r="AN102" s="21">
        <v>21</v>
      </c>
      <c r="AO102" s="21">
        <f>G102*1</f>
        <v>0</v>
      </c>
      <c r="AP102" s="21">
        <f>G102*(1-1)</f>
        <v>0</v>
      </c>
      <c r="AQ102" s="23" t="s">
        <v>51</v>
      </c>
      <c r="AV102" s="21">
        <f>AW102+AX102</f>
        <v>0</v>
      </c>
      <c r="AW102" s="21">
        <f>F102*AO102</f>
        <v>0</v>
      </c>
      <c r="AX102" s="21">
        <f>F102*AP102</f>
        <v>0</v>
      </c>
      <c r="AY102" s="23" t="s">
        <v>190</v>
      </c>
      <c r="AZ102" s="23" t="s">
        <v>137</v>
      </c>
      <c r="BA102" s="10" t="s">
        <v>58</v>
      </c>
      <c r="BC102" s="21">
        <f>AW102+AX102</f>
        <v>0</v>
      </c>
      <c r="BD102" s="21">
        <f>G102/(100-BE102)*100</f>
        <v>0</v>
      </c>
      <c r="BE102" s="21">
        <v>0</v>
      </c>
      <c r="BF102" s="21">
        <f>L102</f>
        <v>44.194815000000006</v>
      </c>
      <c r="BH102" s="21">
        <f>F102*AO102</f>
        <v>0</v>
      </c>
      <c r="BI102" s="21">
        <f>F102*AP102</f>
        <v>0</v>
      </c>
      <c r="BJ102" s="21">
        <f>F102*G102</f>
        <v>0</v>
      </c>
      <c r="BK102" s="21" t="s">
        <v>201</v>
      </c>
      <c r="BL102" s="21">
        <v>59</v>
      </c>
    </row>
    <row r="103" spans="1:14" ht="15">
      <c r="A103" s="2"/>
      <c r="C103" s="24" t="s">
        <v>601</v>
      </c>
      <c r="D103" s="24"/>
      <c r="F103" s="25">
        <v>321.3</v>
      </c>
      <c r="M103" s="26"/>
      <c r="N103" s="2"/>
    </row>
    <row r="104" spans="1:14" ht="15">
      <c r="A104" s="2"/>
      <c r="C104" s="24" t="s">
        <v>602</v>
      </c>
      <c r="D104" s="24"/>
      <c r="F104" s="25">
        <v>16.065</v>
      </c>
      <c r="M104" s="26"/>
      <c r="N104" s="2"/>
    </row>
    <row r="105" spans="1:14" ht="15">
      <c r="A105" s="2"/>
      <c r="B105" s="27" t="s">
        <v>61</v>
      </c>
      <c r="C105" s="634" t="s">
        <v>242</v>
      </c>
      <c r="D105" s="635"/>
      <c r="E105" s="635"/>
      <c r="F105" s="635"/>
      <c r="G105" s="635"/>
      <c r="H105" s="635"/>
      <c r="I105" s="635"/>
      <c r="J105" s="635"/>
      <c r="K105" s="635"/>
      <c r="L105" s="635"/>
      <c r="M105" s="636"/>
      <c r="N105" s="2"/>
    </row>
    <row r="106" spans="1:64" ht="15">
      <c r="A106" s="20" t="s">
        <v>226</v>
      </c>
      <c r="B106" s="3" t="s">
        <v>244</v>
      </c>
      <c r="C106" s="618" t="s">
        <v>245</v>
      </c>
      <c r="D106" s="608"/>
      <c r="E106" s="3" t="s">
        <v>54</v>
      </c>
      <c r="F106" s="21">
        <v>4.935</v>
      </c>
      <c r="G106" s="537"/>
      <c r="H106" s="21">
        <f>F106*AO106</f>
        <v>0</v>
      </c>
      <c r="I106" s="21">
        <f>F106*AP106</f>
        <v>0</v>
      </c>
      <c r="J106" s="21">
        <f>F106*G106</f>
        <v>0</v>
      </c>
      <c r="K106" s="21">
        <v>0.141</v>
      </c>
      <c r="L106" s="21">
        <f>F106*K106</f>
        <v>0.6958349999999999</v>
      </c>
      <c r="M106" s="22" t="s">
        <v>55</v>
      </c>
      <c r="N106" s="2"/>
      <c r="Z106" s="21">
        <f>IF(AQ106="5",BJ106,0)</f>
        <v>0</v>
      </c>
      <c r="AB106" s="21">
        <f>IF(AQ106="1",BH106,0)</f>
        <v>0</v>
      </c>
      <c r="AC106" s="21">
        <f>IF(AQ106="1",BI106,0)</f>
        <v>0</v>
      </c>
      <c r="AD106" s="21">
        <f>IF(AQ106="7",BH106,0)</f>
        <v>0</v>
      </c>
      <c r="AE106" s="21">
        <f>IF(AQ106="7",BI106,0)</f>
        <v>0</v>
      </c>
      <c r="AF106" s="21">
        <f>IF(AQ106="2",BH106,0)</f>
        <v>0</v>
      </c>
      <c r="AG106" s="21">
        <f>IF(AQ106="2",BI106,0)</f>
        <v>0</v>
      </c>
      <c r="AH106" s="21">
        <f>IF(AQ106="0",BJ106,0)</f>
        <v>0</v>
      </c>
      <c r="AI106" s="10"/>
      <c r="AJ106" s="21">
        <f>IF(AN106=0,J106,0)</f>
        <v>0</v>
      </c>
      <c r="AK106" s="21">
        <f>IF(AN106=15,J106,0)</f>
        <v>0</v>
      </c>
      <c r="AL106" s="21">
        <f>IF(AN106=21,J106,0)</f>
        <v>0</v>
      </c>
      <c r="AN106" s="21">
        <v>21</v>
      </c>
      <c r="AO106" s="21">
        <f>G106*1</f>
        <v>0</v>
      </c>
      <c r="AP106" s="21">
        <f>G106*(1-1)</f>
        <v>0</v>
      </c>
      <c r="AQ106" s="23" t="s">
        <v>51</v>
      </c>
      <c r="AV106" s="21">
        <f>AW106+AX106</f>
        <v>0</v>
      </c>
      <c r="AW106" s="21">
        <f>F106*AO106</f>
        <v>0</v>
      </c>
      <c r="AX106" s="21">
        <f>F106*AP106</f>
        <v>0</v>
      </c>
      <c r="AY106" s="23" t="s">
        <v>190</v>
      </c>
      <c r="AZ106" s="23" t="s">
        <v>137</v>
      </c>
      <c r="BA106" s="10" t="s">
        <v>58</v>
      </c>
      <c r="BC106" s="21">
        <f>AW106+AX106</f>
        <v>0</v>
      </c>
      <c r="BD106" s="21">
        <f>G106/(100-BE106)*100</f>
        <v>0</v>
      </c>
      <c r="BE106" s="21">
        <v>0</v>
      </c>
      <c r="BF106" s="21">
        <f>L106</f>
        <v>0.6958349999999999</v>
      </c>
      <c r="BH106" s="21">
        <f>F106*AO106</f>
        <v>0</v>
      </c>
      <c r="BI106" s="21">
        <f>F106*AP106</f>
        <v>0</v>
      </c>
      <c r="BJ106" s="21">
        <f>F106*G106</f>
        <v>0</v>
      </c>
      <c r="BK106" s="21" t="s">
        <v>201</v>
      </c>
      <c r="BL106" s="21">
        <v>59</v>
      </c>
    </row>
    <row r="107" spans="1:14" ht="15">
      <c r="A107" s="2"/>
      <c r="C107" s="24" t="s">
        <v>603</v>
      </c>
      <c r="D107" s="24"/>
      <c r="F107" s="25">
        <v>4.7</v>
      </c>
      <c r="M107" s="26"/>
      <c r="N107" s="2"/>
    </row>
    <row r="108" spans="1:14" ht="15">
      <c r="A108" s="2"/>
      <c r="C108" s="24" t="s">
        <v>604</v>
      </c>
      <c r="D108" s="24"/>
      <c r="F108" s="25">
        <v>0.235</v>
      </c>
      <c r="M108" s="26"/>
      <c r="N108" s="2"/>
    </row>
    <row r="109" spans="1:64" ht="15">
      <c r="A109" s="20" t="s">
        <v>229</v>
      </c>
      <c r="B109" s="3" t="s">
        <v>248</v>
      </c>
      <c r="C109" s="618" t="s">
        <v>249</v>
      </c>
      <c r="D109" s="608"/>
      <c r="E109" s="3" t="s">
        <v>54</v>
      </c>
      <c r="F109" s="21">
        <v>4.7</v>
      </c>
      <c r="G109" s="537"/>
      <c r="H109" s="21">
        <f>F109*AO109</f>
        <v>0</v>
      </c>
      <c r="I109" s="21">
        <f>F109*AP109</f>
        <v>0</v>
      </c>
      <c r="J109" s="21">
        <f>F109*G109</f>
        <v>0</v>
      </c>
      <c r="K109" s="21">
        <v>0</v>
      </c>
      <c r="L109" s="21">
        <f>F109*K109</f>
        <v>0</v>
      </c>
      <c r="M109" s="22" t="s">
        <v>55</v>
      </c>
      <c r="N109" s="2"/>
      <c r="Z109" s="21">
        <f>IF(AQ109="5",BJ109,0)</f>
        <v>0</v>
      </c>
      <c r="AB109" s="21">
        <f>IF(AQ109="1",BH109,0)</f>
        <v>0</v>
      </c>
      <c r="AC109" s="21">
        <f>IF(AQ109="1",BI109,0)</f>
        <v>0</v>
      </c>
      <c r="AD109" s="21">
        <f>IF(AQ109="7",BH109,0)</f>
        <v>0</v>
      </c>
      <c r="AE109" s="21">
        <f>IF(AQ109="7",BI109,0)</f>
        <v>0</v>
      </c>
      <c r="AF109" s="21">
        <f>IF(AQ109="2",BH109,0)</f>
        <v>0</v>
      </c>
      <c r="AG109" s="21">
        <f>IF(AQ109="2",BI109,0)</f>
        <v>0</v>
      </c>
      <c r="AH109" s="21">
        <f>IF(AQ109="0",BJ109,0)</f>
        <v>0</v>
      </c>
      <c r="AI109" s="10"/>
      <c r="AJ109" s="21">
        <f>IF(AN109=0,J109,0)</f>
        <v>0</v>
      </c>
      <c r="AK109" s="21">
        <f>IF(AN109=15,J109,0)</f>
        <v>0</v>
      </c>
      <c r="AL109" s="21">
        <f>IF(AN109=21,J109,0)</f>
        <v>0</v>
      </c>
      <c r="AN109" s="21">
        <v>21</v>
      </c>
      <c r="AO109" s="21">
        <f>G109*0</f>
        <v>0</v>
      </c>
      <c r="AP109" s="21">
        <f>G109*(1-0)</f>
        <v>0</v>
      </c>
      <c r="AQ109" s="23" t="s">
        <v>51</v>
      </c>
      <c r="AV109" s="21">
        <f>AW109+AX109</f>
        <v>0</v>
      </c>
      <c r="AW109" s="21">
        <f>F109*AO109</f>
        <v>0</v>
      </c>
      <c r="AX109" s="21">
        <f>F109*AP109</f>
        <v>0</v>
      </c>
      <c r="AY109" s="23" t="s">
        <v>190</v>
      </c>
      <c r="AZ109" s="23" t="s">
        <v>137</v>
      </c>
      <c r="BA109" s="10" t="s">
        <v>58</v>
      </c>
      <c r="BC109" s="21">
        <f>AW109+AX109</f>
        <v>0</v>
      </c>
      <c r="BD109" s="21">
        <f>G109/(100-BE109)*100</f>
        <v>0</v>
      </c>
      <c r="BE109" s="21">
        <v>0</v>
      </c>
      <c r="BF109" s="21">
        <f>L109</f>
        <v>0</v>
      </c>
      <c r="BH109" s="21">
        <f>F109*AO109</f>
        <v>0</v>
      </c>
      <c r="BI109" s="21">
        <f>F109*AP109</f>
        <v>0</v>
      </c>
      <c r="BJ109" s="21">
        <f>F109*G109</f>
        <v>0</v>
      </c>
      <c r="BK109" s="21" t="s">
        <v>59</v>
      </c>
      <c r="BL109" s="21">
        <v>59</v>
      </c>
    </row>
    <row r="110" spans="1:14" ht="15">
      <c r="A110" s="2"/>
      <c r="C110" s="24" t="s">
        <v>603</v>
      </c>
      <c r="D110" s="24"/>
      <c r="F110" s="25">
        <v>4.7</v>
      </c>
      <c r="M110" s="26"/>
      <c r="N110" s="2"/>
    </row>
    <row r="111" spans="1:14" ht="15">
      <c r="A111" s="2"/>
      <c r="B111" s="27" t="s">
        <v>61</v>
      </c>
      <c r="C111" s="634" t="s">
        <v>225</v>
      </c>
      <c r="D111" s="635"/>
      <c r="E111" s="635"/>
      <c r="F111" s="635"/>
      <c r="G111" s="635"/>
      <c r="H111" s="635"/>
      <c r="I111" s="635"/>
      <c r="J111" s="635"/>
      <c r="K111" s="635"/>
      <c r="L111" s="635"/>
      <c r="M111" s="636"/>
      <c r="N111" s="2"/>
    </row>
    <row r="112" spans="1:64" ht="15">
      <c r="A112" s="20" t="s">
        <v>112</v>
      </c>
      <c r="B112" s="3" t="s">
        <v>251</v>
      </c>
      <c r="C112" s="618" t="s">
        <v>252</v>
      </c>
      <c r="D112" s="608"/>
      <c r="E112" s="3" t="s">
        <v>54</v>
      </c>
      <c r="F112" s="21">
        <v>4.7</v>
      </c>
      <c r="G112" s="537"/>
      <c r="H112" s="21">
        <f>F112*AO112</f>
        <v>0</v>
      </c>
      <c r="I112" s="21">
        <f>F112*AP112</f>
        <v>0</v>
      </c>
      <c r="J112" s="21">
        <f>F112*G112</f>
        <v>0</v>
      </c>
      <c r="K112" s="21">
        <v>0</v>
      </c>
      <c r="L112" s="21">
        <f>F112*K112</f>
        <v>0</v>
      </c>
      <c r="M112" s="22" t="s">
        <v>55</v>
      </c>
      <c r="N112" s="2"/>
      <c r="Z112" s="21">
        <f>IF(AQ112="5",BJ112,0)</f>
        <v>0</v>
      </c>
      <c r="AB112" s="21">
        <f>IF(AQ112="1",BH112,0)</f>
        <v>0</v>
      </c>
      <c r="AC112" s="21">
        <f>IF(AQ112="1",BI112,0)</f>
        <v>0</v>
      </c>
      <c r="AD112" s="21">
        <f>IF(AQ112="7",BH112,0)</f>
        <v>0</v>
      </c>
      <c r="AE112" s="21">
        <f>IF(AQ112="7",BI112,0)</f>
        <v>0</v>
      </c>
      <c r="AF112" s="21">
        <f>IF(AQ112="2",BH112,0)</f>
        <v>0</v>
      </c>
      <c r="AG112" s="21">
        <f>IF(AQ112="2",BI112,0)</f>
        <v>0</v>
      </c>
      <c r="AH112" s="21">
        <f>IF(AQ112="0",BJ112,0)</f>
        <v>0</v>
      </c>
      <c r="AI112" s="10"/>
      <c r="AJ112" s="21">
        <f>IF(AN112=0,J112,0)</f>
        <v>0</v>
      </c>
      <c r="AK112" s="21">
        <f>IF(AN112=15,J112,0)</f>
        <v>0</v>
      </c>
      <c r="AL112" s="21">
        <f>IF(AN112=21,J112,0)</f>
        <v>0</v>
      </c>
      <c r="AN112" s="21">
        <v>21</v>
      </c>
      <c r="AO112" s="21">
        <f>G112*0</f>
        <v>0</v>
      </c>
      <c r="AP112" s="21">
        <f>G112*(1-0)</f>
        <v>0</v>
      </c>
      <c r="AQ112" s="23" t="s">
        <v>51</v>
      </c>
      <c r="AV112" s="21">
        <f>AW112+AX112</f>
        <v>0</v>
      </c>
      <c r="AW112" s="21">
        <f>F112*AO112</f>
        <v>0</v>
      </c>
      <c r="AX112" s="21">
        <f>F112*AP112</f>
        <v>0</v>
      </c>
      <c r="AY112" s="23" t="s">
        <v>190</v>
      </c>
      <c r="AZ112" s="23" t="s">
        <v>137</v>
      </c>
      <c r="BA112" s="10" t="s">
        <v>58</v>
      </c>
      <c r="BC112" s="21">
        <f>AW112+AX112</f>
        <v>0</v>
      </c>
      <c r="BD112" s="21">
        <f>G112/(100-BE112)*100</f>
        <v>0</v>
      </c>
      <c r="BE112" s="21">
        <v>0</v>
      </c>
      <c r="BF112" s="21">
        <f>L112</f>
        <v>0</v>
      </c>
      <c r="BH112" s="21">
        <f>F112*AO112</f>
        <v>0</v>
      </c>
      <c r="BI112" s="21">
        <f>F112*AP112</f>
        <v>0</v>
      </c>
      <c r="BJ112" s="21">
        <f>F112*G112</f>
        <v>0</v>
      </c>
      <c r="BK112" s="21" t="s">
        <v>59</v>
      </c>
      <c r="BL112" s="21">
        <v>59</v>
      </c>
    </row>
    <row r="113" spans="1:14" ht="15">
      <c r="A113" s="2"/>
      <c r="C113" s="24" t="s">
        <v>603</v>
      </c>
      <c r="D113" s="24"/>
      <c r="F113" s="25">
        <v>4.7</v>
      </c>
      <c r="M113" s="26"/>
      <c r="N113" s="2"/>
    </row>
    <row r="114" spans="1:14" ht="15">
      <c r="A114" s="2"/>
      <c r="B114" s="27" t="s">
        <v>61</v>
      </c>
      <c r="C114" s="634" t="s">
        <v>225</v>
      </c>
      <c r="D114" s="635"/>
      <c r="E114" s="635"/>
      <c r="F114" s="635"/>
      <c r="G114" s="635"/>
      <c r="H114" s="635"/>
      <c r="I114" s="635"/>
      <c r="J114" s="635"/>
      <c r="K114" s="635"/>
      <c r="L114" s="635"/>
      <c r="M114" s="636"/>
      <c r="N114" s="2"/>
    </row>
    <row r="115" spans="1:64" ht="15">
      <c r="A115" s="20" t="s">
        <v>237</v>
      </c>
      <c r="B115" s="3" t="s">
        <v>254</v>
      </c>
      <c r="C115" s="618" t="s">
        <v>255</v>
      </c>
      <c r="D115" s="608"/>
      <c r="E115" s="3" t="s">
        <v>74</v>
      </c>
      <c r="F115" s="21">
        <v>200</v>
      </c>
      <c r="G115" s="537"/>
      <c r="H115" s="21">
        <f>F115*AO115</f>
        <v>0</v>
      </c>
      <c r="I115" s="21">
        <f>F115*AP115</f>
        <v>0</v>
      </c>
      <c r="J115" s="21">
        <f>F115*G115</f>
        <v>0</v>
      </c>
      <c r="K115" s="21">
        <v>0.00033</v>
      </c>
      <c r="L115" s="21">
        <f>F115*K115</f>
        <v>0.066</v>
      </c>
      <c r="M115" s="22" t="s">
        <v>55</v>
      </c>
      <c r="N115" s="2"/>
      <c r="Z115" s="21">
        <f>IF(AQ115="5",BJ115,0)</f>
        <v>0</v>
      </c>
      <c r="AB115" s="21">
        <f>IF(AQ115="1",BH115,0)</f>
        <v>0</v>
      </c>
      <c r="AC115" s="21">
        <f>IF(AQ115="1",BI115,0)</f>
        <v>0</v>
      </c>
      <c r="AD115" s="21">
        <f>IF(AQ115="7",BH115,0)</f>
        <v>0</v>
      </c>
      <c r="AE115" s="21">
        <f>IF(AQ115="7",BI115,0)</f>
        <v>0</v>
      </c>
      <c r="AF115" s="21">
        <f>IF(AQ115="2",BH115,0)</f>
        <v>0</v>
      </c>
      <c r="AG115" s="21">
        <f>IF(AQ115="2",BI115,0)</f>
        <v>0</v>
      </c>
      <c r="AH115" s="21">
        <f>IF(AQ115="0",BJ115,0)</f>
        <v>0</v>
      </c>
      <c r="AI115" s="10"/>
      <c r="AJ115" s="21">
        <f>IF(AN115=0,J115,0)</f>
        <v>0</v>
      </c>
      <c r="AK115" s="21">
        <f>IF(AN115=15,J115,0)</f>
        <v>0</v>
      </c>
      <c r="AL115" s="21">
        <f>IF(AN115=21,J115,0)</f>
        <v>0</v>
      </c>
      <c r="AN115" s="21">
        <v>21</v>
      </c>
      <c r="AO115" s="21">
        <f>G115*0.0594343434343434</f>
        <v>0</v>
      </c>
      <c r="AP115" s="21">
        <f>G115*(1-0.0594343434343434)</f>
        <v>0</v>
      </c>
      <c r="AQ115" s="23" t="s">
        <v>51</v>
      </c>
      <c r="AV115" s="21">
        <f>AW115+AX115</f>
        <v>0</v>
      </c>
      <c r="AW115" s="21">
        <f>F115*AO115</f>
        <v>0</v>
      </c>
      <c r="AX115" s="21">
        <f>F115*AP115</f>
        <v>0</v>
      </c>
      <c r="AY115" s="23" t="s">
        <v>190</v>
      </c>
      <c r="AZ115" s="23" t="s">
        <v>137</v>
      </c>
      <c r="BA115" s="10" t="s">
        <v>58</v>
      </c>
      <c r="BC115" s="21">
        <f>AW115+AX115</f>
        <v>0</v>
      </c>
      <c r="BD115" s="21">
        <f>G115/(100-BE115)*100</f>
        <v>0</v>
      </c>
      <c r="BE115" s="21">
        <v>0</v>
      </c>
      <c r="BF115" s="21">
        <f>L115</f>
        <v>0.066</v>
      </c>
      <c r="BH115" s="21">
        <f>F115*AO115</f>
        <v>0</v>
      </c>
      <c r="BI115" s="21">
        <f>F115*AP115</f>
        <v>0</v>
      </c>
      <c r="BJ115" s="21">
        <f>F115*G115</f>
        <v>0</v>
      </c>
      <c r="BK115" s="21" t="s">
        <v>59</v>
      </c>
      <c r="BL115" s="21">
        <v>59</v>
      </c>
    </row>
    <row r="116" spans="1:14" ht="15">
      <c r="A116" s="2"/>
      <c r="C116" s="24" t="s">
        <v>605</v>
      </c>
      <c r="D116" s="24"/>
      <c r="F116" s="25">
        <v>200</v>
      </c>
      <c r="M116" s="26"/>
      <c r="N116" s="2"/>
    </row>
    <row r="117" spans="1:47" ht="15">
      <c r="A117" s="41"/>
      <c r="B117" s="42" t="s">
        <v>288</v>
      </c>
      <c r="C117" s="637" t="s">
        <v>289</v>
      </c>
      <c r="D117" s="638"/>
      <c r="E117" s="43" t="s">
        <v>4</v>
      </c>
      <c r="F117" s="43" t="s">
        <v>4</v>
      </c>
      <c r="G117" s="43" t="s">
        <v>4</v>
      </c>
      <c r="H117" s="44">
        <f>SUM(H118:H134)</f>
        <v>0</v>
      </c>
      <c r="I117" s="44">
        <f>SUM(I118:I134)</f>
        <v>0</v>
      </c>
      <c r="J117" s="44">
        <f>SUM(J118:J134)</f>
        <v>0</v>
      </c>
      <c r="K117" s="45"/>
      <c r="L117" s="44">
        <f>SUM(L118:L134)</f>
        <v>2.6619</v>
      </c>
      <c r="M117" s="46"/>
      <c r="N117" s="2"/>
      <c r="AI117" s="10"/>
      <c r="AS117" s="19">
        <f>SUM(AJ118:AJ134)</f>
        <v>0</v>
      </c>
      <c r="AT117" s="19">
        <f>SUM(AK118:AK134)</f>
        <v>0</v>
      </c>
      <c r="AU117" s="19">
        <f>SUM(AL118:AL134)</f>
        <v>0</v>
      </c>
    </row>
    <row r="118" spans="1:64" ht="15">
      <c r="A118" s="20" t="s">
        <v>243</v>
      </c>
      <c r="B118" s="3" t="s">
        <v>506</v>
      </c>
      <c r="C118" s="618" t="s">
        <v>507</v>
      </c>
      <c r="D118" s="608"/>
      <c r="E118" s="3" t="s">
        <v>260</v>
      </c>
      <c r="F118" s="21">
        <v>3</v>
      </c>
      <c r="G118" s="537"/>
      <c r="H118" s="21">
        <f>F118*AO118</f>
        <v>0</v>
      </c>
      <c r="I118" s="21">
        <f>F118*AP118</f>
        <v>0</v>
      </c>
      <c r="J118" s="21">
        <f>F118*G118</f>
        <v>0</v>
      </c>
      <c r="K118" s="21">
        <v>0.14494</v>
      </c>
      <c r="L118" s="21">
        <f>F118*K118</f>
        <v>0.43482000000000004</v>
      </c>
      <c r="M118" s="22" t="s">
        <v>55</v>
      </c>
      <c r="N118" s="2"/>
      <c r="Z118" s="21">
        <f>IF(AQ118="5",BJ118,0)</f>
        <v>0</v>
      </c>
      <c r="AB118" s="21">
        <f>IF(AQ118="1",BH118,0)</f>
        <v>0</v>
      </c>
      <c r="AC118" s="21">
        <f>IF(AQ118="1",BI118,0)</f>
        <v>0</v>
      </c>
      <c r="AD118" s="21">
        <f>IF(AQ118="7",BH118,0)</f>
        <v>0</v>
      </c>
      <c r="AE118" s="21">
        <f>IF(AQ118="7",BI118,0)</f>
        <v>0</v>
      </c>
      <c r="AF118" s="21">
        <f>IF(AQ118="2",BH118,0)</f>
        <v>0</v>
      </c>
      <c r="AG118" s="21">
        <f>IF(AQ118="2",BI118,0)</f>
        <v>0</v>
      </c>
      <c r="AH118" s="21">
        <f>IF(AQ118="0",BJ118,0)</f>
        <v>0</v>
      </c>
      <c r="AI118" s="10"/>
      <c r="AJ118" s="21">
        <f>IF(AN118=0,J118,0)</f>
        <v>0</v>
      </c>
      <c r="AK118" s="21">
        <f>IF(AN118=15,J118,0)</f>
        <v>0</v>
      </c>
      <c r="AL118" s="21">
        <f>IF(AN118=21,J118,0)</f>
        <v>0</v>
      </c>
      <c r="AN118" s="21">
        <v>21</v>
      </c>
      <c r="AO118" s="21">
        <f>G118*0.0510002170222001</f>
        <v>0</v>
      </c>
      <c r="AP118" s="21">
        <f>G118*(1-0.0510002170222001)</f>
        <v>0</v>
      </c>
      <c r="AQ118" s="23" t="s">
        <v>51</v>
      </c>
      <c r="AV118" s="21">
        <f>AW118+AX118</f>
        <v>0</v>
      </c>
      <c r="AW118" s="21">
        <f>F118*AO118</f>
        <v>0</v>
      </c>
      <c r="AX118" s="21">
        <f>F118*AP118</f>
        <v>0</v>
      </c>
      <c r="AY118" s="23" t="s">
        <v>293</v>
      </c>
      <c r="AZ118" s="23" t="s">
        <v>285</v>
      </c>
      <c r="BA118" s="10" t="s">
        <v>58</v>
      </c>
      <c r="BC118" s="21">
        <f>AW118+AX118</f>
        <v>0</v>
      </c>
      <c r="BD118" s="21">
        <f>G118/(100-BE118)*100</f>
        <v>0</v>
      </c>
      <c r="BE118" s="21">
        <v>0</v>
      </c>
      <c r="BF118" s="21">
        <f>L118</f>
        <v>0.43482000000000004</v>
      </c>
      <c r="BH118" s="21">
        <f>F118*AO118</f>
        <v>0</v>
      </c>
      <c r="BI118" s="21">
        <f>F118*AP118</f>
        <v>0</v>
      </c>
      <c r="BJ118" s="21">
        <f>F118*G118</f>
        <v>0</v>
      </c>
      <c r="BK118" s="21" t="s">
        <v>59</v>
      </c>
      <c r="BL118" s="21">
        <v>89</v>
      </c>
    </row>
    <row r="119" spans="1:14" ht="15">
      <c r="A119" s="2"/>
      <c r="C119" s="24" t="s">
        <v>67</v>
      </c>
      <c r="D119" s="24"/>
      <c r="F119" s="25">
        <v>3</v>
      </c>
      <c r="M119" s="26"/>
      <c r="N119" s="2"/>
    </row>
    <row r="120" spans="1:14" ht="38.7" customHeight="1">
      <c r="A120" s="2"/>
      <c r="B120" s="27" t="s">
        <v>61</v>
      </c>
      <c r="C120" s="634" t="s">
        <v>508</v>
      </c>
      <c r="D120" s="635"/>
      <c r="E120" s="635"/>
      <c r="F120" s="635"/>
      <c r="G120" s="635"/>
      <c r="H120" s="635"/>
      <c r="I120" s="635"/>
      <c r="J120" s="635"/>
      <c r="K120" s="635"/>
      <c r="L120" s="635"/>
      <c r="M120" s="636"/>
      <c r="N120" s="2"/>
    </row>
    <row r="121" spans="1:64" ht="15">
      <c r="A121" s="20" t="s">
        <v>144</v>
      </c>
      <c r="B121" s="3" t="s">
        <v>509</v>
      </c>
      <c r="C121" s="618" t="s">
        <v>510</v>
      </c>
      <c r="D121" s="608"/>
      <c r="E121" s="3" t="s">
        <v>260</v>
      </c>
      <c r="F121" s="21">
        <v>3</v>
      </c>
      <c r="G121" s="537"/>
      <c r="H121" s="21">
        <f>F121*AO121</f>
        <v>0</v>
      </c>
      <c r="I121" s="21">
        <f>F121*AP121</f>
        <v>0</v>
      </c>
      <c r="J121" s="21">
        <f>F121*G121</f>
        <v>0</v>
      </c>
      <c r="K121" s="21">
        <v>0.17</v>
      </c>
      <c r="L121" s="21">
        <f>F121*K121</f>
        <v>0.51</v>
      </c>
      <c r="M121" s="22" t="s">
        <v>55</v>
      </c>
      <c r="N121" s="2"/>
      <c r="Z121" s="21">
        <f>IF(AQ121="5",BJ121,0)</f>
        <v>0</v>
      </c>
      <c r="AB121" s="21">
        <f>IF(AQ121="1",BH121,0)</f>
        <v>0</v>
      </c>
      <c r="AC121" s="21">
        <f>IF(AQ121="1",BI121,0)</f>
        <v>0</v>
      </c>
      <c r="AD121" s="21">
        <f>IF(AQ121="7",BH121,0)</f>
        <v>0</v>
      </c>
      <c r="AE121" s="21">
        <f>IF(AQ121="7",BI121,0)</f>
        <v>0</v>
      </c>
      <c r="AF121" s="21">
        <f>IF(AQ121="2",BH121,0)</f>
        <v>0</v>
      </c>
      <c r="AG121" s="21">
        <f>IF(AQ121="2",BI121,0)</f>
        <v>0</v>
      </c>
      <c r="AH121" s="21">
        <f>IF(AQ121="0",BJ121,0)</f>
        <v>0</v>
      </c>
      <c r="AI121" s="10"/>
      <c r="AJ121" s="21">
        <f>IF(AN121=0,J121,0)</f>
        <v>0</v>
      </c>
      <c r="AK121" s="21">
        <f>IF(AN121=15,J121,0)</f>
        <v>0</v>
      </c>
      <c r="AL121" s="21">
        <f>IF(AN121=21,J121,0)</f>
        <v>0</v>
      </c>
      <c r="AN121" s="21">
        <v>21</v>
      </c>
      <c r="AO121" s="21">
        <f>G121*1</f>
        <v>0</v>
      </c>
      <c r="AP121" s="21">
        <f>G121*(1-1)</f>
        <v>0</v>
      </c>
      <c r="AQ121" s="23" t="s">
        <v>51</v>
      </c>
      <c r="AV121" s="21">
        <f>AW121+AX121</f>
        <v>0</v>
      </c>
      <c r="AW121" s="21">
        <f>F121*AO121</f>
        <v>0</v>
      </c>
      <c r="AX121" s="21">
        <f>F121*AP121</f>
        <v>0</v>
      </c>
      <c r="AY121" s="23" t="s">
        <v>293</v>
      </c>
      <c r="AZ121" s="23" t="s">
        <v>285</v>
      </c>
      <c r="BA121" s="10" t="s">
        <v>58</v>
      </c>
      <c r="BC121" s="21">
        <f>AW121+AX121</f>
        <v>0</v>
      </c>
      <c r="BD121" s="21">
        <f>G121/(100-BE121)*100</f>
        <v>0</v>
      </c>
      <c r="BE121" s="21">
        <v>0</v>
      </c>
      <c r="BF121" s="21">
        <f>L121</f>
        <v>0.51</v>
      </c>
      <c r="BH121" s="21">
        <f>F121*AO121</f>
        <v>0</v>
      </c>
      <c r="BI121" s="21">
        <f>F121*AP121</f>
        <v>0</v>
      </c>
      <c r="BJ121" s="21">
        <f>F121*G121</f>
        <v>0</v>
      </c>
      <c r="BK121" s="21" t="s">
        <v>201</v>
      </c>
      <c r="BL121" s="21">
        <v>89</v>
      </c>
    </row>
    <row r="122" spans="1:14" ht="15">
      <c r="A122" s="2"/>
      <c r="C122" s="24" t="s">
        <v>67</v>
      </c>
      <c r="D122" s="24"/>
      <c r="F122" s="25">
        <v>3</v>
      </c>
      <c r="M122" s="26"/>
      <c r="N122" s="2"/>
    </row>
    <row r="123" spans="1:64" ht="15">
      <c r="A123" s="20" t="s">
        <v>250</v>
      </c>
      <c r="B123" s="3" t="s">
        <v>511</v>
      </c>
      <c r="C123" s="618" t="s">
        <v>512</v>
      </c>
      <c r="D123" s="608"/>
      <c r="E123" s="3" t="s">
        <v>260</v>
      </c>
      <c r="F123" s="21">
        <v>6</v>
      </c>
      <c r="G123" s="537"/>
      <c r="H123" s="21">
        <f>F123*AO123</f>
        <v>0</v>
      </c>
      <c r="I123" s="21">
        <f>F123*AP123</f>
        <v>0</v>
      </c>
      <c r="J123" s="21">
        <f>F123*G123</f>
        <v>0</v>
      </c>
      <c r="K123" s="21">
        <v>0.076</v>
      </c>
      <c r="L123" s="21">
        <f>F123*K123</f>
        <v>0.45599999999999996</v>
      </c>
      <c r="M123" s="22" t="s">
        <v>55</v>
      </c>
      <c r="N123" s="2"/>
      <c r="Z123" s="21">
        <f>IF(AQ123="5",BJ123,0)</f>
        <v>0</v>
      </c>
      <c r="AB123" s="21">
        <f>IF(AQ123="1",BH123,0)</f>
        <v>0</v>
      </c>
      <c r="AC123" s="21">
        <f>IF(AQ123="1",BI123,0)</f>
        <v>0</v>
      </c>
      <c r="AD123" s="21">
        <f>IF(AQ123="7",BH123,0)</f>
        <v>0</v>
      </c>
      <c r="AE123" s="21">
        <f>IF(AQ123="7",BI123,0)</f>
        <v>0</v>
      </c>
      <c r="AF123" s="21">
        <f>IF(AQ123="2",BH123,0)</f>
        <v>0</v>
      </c>
      <c r="AG123" s="21">
        <f>IF(AQ123="2",BI123,0)</f>
        <v>0</v>
      </c>
      <c r="AH123" s="21">
        <f>IF(AQ123="0",BJ123,0)</f>
        <v>0</v>
      </c>
      <c r="AI123" s="10"/>
      <c r="AJ123" s="21">
        <f>IF(AN123=0,J123,0)</f>
        <v>0</v>
      </c>
      <c r="AK123" s="21">
        <f>IF(AN123=15,J123,0)</f>
        <v>0</v>
      </c>
      <c r="AL123" s="21">
        <f>IF(AN123=21,J123,0)</f>
        <v>0</v>
      </c>
      <c r="AN123" s="21">
        <v>21</v>
      </c>
      <c r="AO123" s="21">
        <f>G123*1</f>
        <v>0</v>
      </c>
      <c r="AP123" s="21">
        <f>G123*(1-1)</f>
        <v>0</v>
      </c>
      <c r="AQ123" s="23" t="s">
        <v>51</v>
      </c>
      <c r="AV123" s="21">
        <f>AW123+AX123</f>
        <v>0</v>
      </c>
      <c r="AW123" s="21">
        <f>F123*AO123</f>
        <v>0</v>
      </c>
      <c r="AX123" s="21">
        <f>F123*AP123</f>
        <v>0</v>
      </c>
      <c r="AY123" s="23" t="s">
        <v>293</v>
      </c>
      <c r="AZ123" s="23" t="s">
        <v>285</v>
      </c>
      <c r="BA123" s="10" t="s">
        <v>58</v>
      </c>
      <c r="BC123" s="21">
        <f>AW123+AX123</f>
        <v>0</v>
      </c>
      <c r="BD123" s="21">
        <f>G123/(100-BE123)*100</f>
        <v>0</v>
      </c>
      <c r="BE123" s="21">
        <v>0</v>
      </c>
      <c r="BF123" s="21">
        <f>L123</f>
        <v>0.45599999999999996</v>
      </c>
      <c r="BH123" s="21">
        <f>F123*AO123</f>
        <v>0</v>
      </c>
      <c r="BI123" s="21">
        <f>F123*AP123</f>
        <v>0</v>
      </c>
      <c r="BJ123" s="21">
        <f>F123*G123</f>
        <v>0</v>
      </c>
      <c r="BK123" s="21" t="s">
        <v>201</v>
      </c>
      <c r="BL123" s="21">
        <v>89</v>
      </c>
    </row>
    <row r="124" spans="1:14" ht="15">
      <c r="A124" s="2"/>
      <c r="C124" s="24" t="s">
        <v>85</v>
      </c>
      <c r="D124" s="24"/>
      <c r="F124" s="25">
        <v>6</v>
      </c>
      <c r="M124" s="26"/>
      <c r="N124" s="2"/>
    </row>
    <row r="125" spans="1:64" ht="15">
      <c r="A125" s="20" t="s">
        <v>253</v>
      </c>
      <c r="B125" s="3" t="s">
        <v>513</v>
      </c>
      <c r="C125" s="618" t="s">
        <v>514</v>
      </c>
      <c r="D125" s="608"/>
      <c r="E125" s="3" t="s">
        <v>260</v>
      </c>
      <c r="F125" s="21">
        <v>3</v>
      </c>
      <c r="G125" s="537"/>
      <c r="H125" s="21">
        <f>F125*AO125</f>
        <v>0</v>
      </c>
      <c r="I125" s="21">
        <f>F125*AP125</f>
        <v>0</v>
      </c>
      <c r="J125" s="21">
        <f>F125*G125</f>
        <v>0</v>
      </c>
      <c r="K125" s="21">
        <v>0.07</v>
      </c>
      <c r="L125" s="21">
        <f>F125*K125</f>
        <v>0.21000000000000002</v>
      </c>
      <c r="M125" s="22" t="s">
        <v>55</v>
      </c>
      <c r="N125" s="2"/>
      <c r="Z125" s="21">
        <f>IF(AQ125="5",BJ125,0)</f>
        <v>0</v>
      </c>
      <c r="AB125" s="21">
        <f>IF(AQ125="1",BH125,0)</f>
        <v>0</v>
      </c>
      <c r="AC125" s="21">
        <f>IF(AQ125="1",BI125,0)</f>
        <v>0</v>
      </c>
      <c r="AD125" s="21">
        <f>IF(AQ125="7",BH125,0)</f>
        <v>0</v>
      </c>
      <c r="AE125" s="21">
        <f>IF(AQ125="7",BI125,0)</f>
        <v>0</v>
      </c>
      <c r="AF125" s="21">
        <f>IF(AQ125="2",BH125,0)</f>
        <v>0</v>
      </c>
      <c r="AG125" s="21">
        <f>IF(AQ125="2",BI125,0)</f>
        <v>0</v>
      </c>
      <c r="AH125" s="21">
        <f>IF(AQ125="0",BJ125,0)</f>
        <v>0</v>
      </c>
      <c r="AI125" s="10"/>
      <c r="AJ125" s="21">
        <f>IF(AN125=0,J125,0)</f>
        <v>0</v>
      </c>
      <c r="AK125" s="21">
        <f>IF(AN125=15,J125,0)</f>
        <v>0</v>
      </c>
      <c r="AL125" s="21">
        <f>IF(AN125=21,J125,0)</f>
        <v>0</v>
      </c>
      <c r="AN125" s="21">
        <v>21</v>
      </c>
      <c r="AO125" s="21">
        <f>G125*1</f>
        <v>0</v>
      </c>
      <c r="AP125" s="21">
        <f>G125*(1-1)</f>
        <v>0</v>
      </c>
      <c r="AQ125" s="23" t="s">
        <v>51</v>
      </c>
      <c r="AV125" s="21">
        <f>AW125+AX125</f>
        <v>0</v>
      </c>
      <c r="AW125" s="21">
        <f>F125*AO125</f>
        <v>0</v>
      </c>
      <c r="AX125" s="21">
        <f>F125*AP125</f>
        <v>0</v>
      </c>
      <c r="AY125" s="23" t="s">
        <v>293</v>
      </c>
      <c r="AZ125" s="23" t="s">
        <v>285</v>
      </c>
      <c r="BA125" s="10" t="s">
        <v>58</v>
      </c>
      <c r="BC125" s="21">
        <f>AW125+AX125</f>
        <v>0</v>
      </c>
      <c r="BD125" s="21">
        <f>G125/(100-BE125)*100</f>
        <v>0</v>
      </c>
      <c r="BE125" s="21">
        <v>0</v>
      </c>
      <c r="BF125" s="21">
        <f>L125</f>
        <v>0.21000000000000002</v>
      </c>
      <c r="BH125" s="21">
        <f>F125*AO125</f>
        <v>0</v>
      </c>
      <c r="BI125" s="21">
        <f>F125*AP125</f>
        <v>0</v>
      </c>
      <c r="BJ125" s="21">
        <f>F125*G125</f>
        <v>0</v>
      </c>
      <c r="BK125" s="21" t="s">
        <v>201</v>
      </c>
      <c r="BL125" s="21">
        <v>89</v>
      </c>
    </row>
    <row r="126" spans="1:14" ht="15">
      <c r="A126" s="2"/>
      <c r="C126" s="24" t="s">
        <v>67</v>
      </c>
      <c r="D126" s="24"/>
      <c r="F126" s="25">
        <v>3</v>
      </c>
      <c r="M126" s="26"/>
      <c r="N126" s="2"/>
    </row>
    <row r="127" spans="1:64" ht="15">
      <c r="A127" s="20" t="s">
        <v>257</v>
      </c>
      <c r="B127" s="3" t="s">
        <v>515</v>
      </c>
      <c r="C127" s="618" t="s">
        <v>516</v>
      </c>
      <c r="D127" s="608"/>
      <c r="E127" s="3" t="s">
        <v>260</v>
      </c>
      <c r="F127" s="21">
        <v>3</v>
      </c>
      <c r="G127" s="537"/>
      <c r="H127" s="21">
        <f>F127*AO127</f>
        <v>0</v>
      </c>
      <c r="I127" s="21">
        <f>F127*AP127</f>
        <v>0</v>
      </c>
      <c r="J127" s="21">
        <f>F127*G127</f>
        <v>0</v>
      </c>
      <c r="K127" s="21">
        <v>0.023</v>
      </c>
      <c r="L127" s="21">
        <f>F127*K127</f>
        <v>0.069</v>
      </c>
      <c r="M127" s="22" t="s">
        <v>55</v>
      </c>
      <c r="N127" s="2"/>
      <c r="Z127" s="21">
        <f>IF(AQ127="5",BJ127,0)</f>
        <v>0</v>
      </c>
      <c r="AB127" s="21">
        <f>IF(AQ127="1",BH127,0)</f>
        <v>0</v>
      </c>
      <c r="AC127" s="21">
        <f>IF(AQ127="1",BI127,0)</f>
        <v>0</v>
      </c>
      <c r="AD127" s="21">
        <f>IF(AQ127="7",BH127,0)</f>
        <v>0</v>
      </c>
      <c r="AE127" s="21">
        <f>IF(AQ127="7",BI127,0)</f>
        <v>0</v>
      </c>
      <c r="AF127" s="21">
        <f>IF(AQ127="2",BH127,0)</f>
        <v>0</v>
      </c>
      <c r="AG127" s="21">
        <f>IF(AQ127="2",BI127,0)</f>
        <v>0</v>
      </c>
      <c r="AH127" s="21">
        <f>IF(AQ127="0",BJ127,0)</f>
        <v>0</v>
      </c>
      <c r="AI127" s="10"/>
      <c r="AJ127" s="21">
        <f>IF(AN127=0,J127,0)</f>
        <v>0</v>
      </c>
      <c r="AK127" s="21">
        <f>IF(AN127=15,J127,0)</f>
        <v>0</v>
      </c>
      <c r="AL127" s="21">
        <f>IF(AN127=21,J127,0)</f>
        <v>0</v>
      </c>
      <c r="AN127" s="21">
        <v>21</v>
      </c>
      <c r="AO127" s="21">
        <f>G127*1</f>
        <v>0</v>
      </c>
      <c r="AP127" s="21">
        <f>G127*(1-1)</f>
        <v>0</v>
      </c>
      <c r="AQ127" s="23" t="s">
        <v>51</v>
      </c>
      <c r="AV127" s="21">
        <f>AW127+AX127</f>
        <v>0</v>
      </c>
      <c r="AW127" s="21">
        <f>F127*AO127</f>
        <v>0</v>
      </c>
      <c r="AX127" s="21">
        <f>F127*AP127</f>
        <v>0</v>
      </c>
      <c r="AY127" s="23" t="s">
        <v>293</v>
      </c>
      <c r="AZ127" s="23" t="s">
        <v>285</v>
      </c>
      <c r="BA127" s="10" t="s">
        <v>58</v>
      </c>
      <c r="BC127" s="21">
        <f>AW127+AX127</f>
        <v>0</v>
      </c>
      <c r="BD127" s="21">
        <f>G127/(100-BE127)*100</f>
        <v>0</v>
      </c>
      <c r="BE127" s="21">
        <v>0</v>
      </c>
      <c r="BF127" s="21">
        <f>L127</f>
        <v>0.069</v>
      </c>
      <c r="BH127" s="21">
        <f>F127*AO127</f>
        <v>0</v>
      </c>
      <c r="BI127" s="21">
        <f>F127*AP127</f>
        <v>0</v>
      </c>
      <c r="BJ127" s="21">
        <f>F127*G127</f>
        <v>0</v>
      </c>
      <c r="BK127" s="21" t="s">
        <v>201</v>
      </c>
      <c r="BL127" s="21">
        <v>89</v>
      </c>
    </row>
    <row r="128" spans="1:14" ht="15">
      <c r="A128" s="2"/>
      <c r="C128" s="24" t="s">
        <v>67</v>
      </c>
      <c r="D128" s="24"/>
      <c r="F128" s="25">
        <v>3</v>
      </c>
      <c r="M128" s="26"/>
      <c r="N128" s="2"/>
    </row>
    <row r="129" spans="1:64" ht="15">
      <c r="A129" s="20" t="s">
        <v>262</v>
      </c>
      <c r="B129" s="3" t="s">
        <v>517</v>
      </c>
      <c r="C129" s="618" t="s">
        <v>2476</v>
      </c>
      <c r="D129" s="608"/>
      <c r="E129" s="3" t="s">
        <v>260</v>
      </c>
      <c r="F129" s="21">
        <v>3</v>
      </c>
      <c r="G129" s="537"/>
      <c r="H129" s="21">
        <f>F129*AO129</f>
        <v>0</v>
      </c>
      <c r="I129" s="21">
        <f>F129*AP129</f>
        <v>0</v>
      </c>
      <c r="J129" s="21">
        <f>F129*G129</f>
        <v>0</v>
      </c>
      <c r="K129" s="21">
        <v>0.28</v>
      </c>
      <c r="L129" s="21">
        <f>F129*K129</f>
        <v>0.8400000000000001</v>
      </c>
      <c r="M129" s="22" t="s">
        <v>55</v>
      </c>
      <c r="N129" s="2"/>
      <c r="Z129" s="21">
        <f>IF(AQ129="5",BJ129,0)</f>
        <v>0</v>
      </c>
      <c r="AB129" s="21">
        <f>IF(AQ129="1",BH129,0)</f>
        <v>0</v>
      </c>
      <c r="AC129" s="21">
        <f>IF(AQ129="1",BI129,0)</f>
        <v>0</v>
      </c>
      <c r="AD129" s="21">
        <f>IF(AQ129="7",BH129,0)</f>
        <v>0</v>
      </c>
      <c r="AE129" s="21">
        <f>IF(AQ129="7",BI129,0)</f>
        <v>0</v>
      </c>
      <c r="AF129" s="21">
        <f>IF(AQ129="2",BH129,0)</f>
        <v>0</v>
      </c>
      <c r="AG129" s="21">
        <f>IF(AQ129="2",BI129,0)</f>
        <v>0</v>
      </c>
      <c r="AH129" s="21">
        <f>IF(AQ129="0",BJ129,0)</f>
        <v>0</v>
      </c>
      <c r="AI129" s="10"/>
      <c r="AJ129" s="21">
        <f>IF(AN129=0,J129,0)</f>
        <v>0</v>
      </c>
      <c r="AK129" s="21">
        <f>IF(AN129=15,J129,0)</f>
        <v>0</v>
      </c>
      <c r="AL129" s="21">
        <f>IF(AN129=21,J129,0)</f>
        <v>0</v>
      </c>
      <c r="AN129" s="21">
        <v>21</v>
      </c>
      <c r="AO129" s="21">
        <f>G129*1</f>
        <v>0</v>
      </c>
      <c r="AP129" s="21">
        <f>G129*(1-1)</f>
        <v>0</v>
      </c>
      <c r="AQ129" s="23" t="s">
        <v>51</v>
      </c>
      <c r="AV129" s="21">
        <f>AW129+AX129</f>
        <v>0</v>
      </c>
      <c r="AW129" s="21">
        <f>F129*AO129</f>
        <v>0</v>
      </c>
      <c r="AX129" s="21">
        <f>F129*AP129</f>
        <v>0</v>
      </c>
      <c r="AY129" s="23" t="s">
        <v>293</v>
      </c>
      <c r="AZ129" s="23" t="s">
        <v>285</v>
      </c>
      <c r="BA129" s="10" t="s">
        <v>58</v>
      </c>
      <c r="BC129" s="21">
        <f>AW129+AX129</f>
        <v>0</v>
      </c>
      <c r="BD129" s="21">
        <f>G129/(100-BE129)*100</f>
        <v>0</v>
      </c>
      <c r="BE129" s="21">
        <v>0</v>
      </c>
      <c r="BF129" s="21">
        <f>L129</f>
        <v>0.8400000000000001</v>
      </c>
      <c r="BH129" s="21">
        <f>F129*AO129</f>
        <v>0</v>
      </c>
      <c r="BI129" s="21">
        <f>F129*AP129</f>
        <v>0</v>
      </c>
      <c r="BJ129" s="21">
        <f>F129*G129</f>
        <v>0</v>
      </c>
      <c r="BK129" s="21" t="s">
        <v>201</v>
      </c>
      <c r="BL129" s="21">
        <v>89</v>
      </c>
    </row>
    <row r="130" spans="1:14" ht="15">
      <c r="A130" s="2"/>
      <c r="C130" s="24" t="s">
        <v>67</v>
      </c>
      <c r="D130" s="24"/>
      <c r="F130" s="25">
        <v>3</v>
      </c>
      <c r="M130" s="26"/>
      <c r="N130" s="2"/>
    </row>
    <row r="131" spans="1:64" ht="15">
      <c r="A131" s="20" t="s">
        <v>266</v>
      </c>
      <c r="B131" s="3" t="s">
        <v>518</v>
      </c>
      <c r="C131" s="618" t="s">
        <v>519</v>
      </c>
      <c r="D131" s="608"/>
      <c r="E131" s="3" t="s">
        <v>260</v>
      </c>
      <c r="F131" s="21">
        <v>3</v>
      </c>
      <c r="G131" s="537"/>
      <c r="H131" s="21">
        <f>F131*AO131</f>
        <v>0</v>
      </c>
      <c r="I131" s="21">
        <f>F131*AP131</f>
        <v>0</v>
      </c>
      <c r="J131" s="21">
        <f>F131*G131</f>
        <v>0</v>
      </c>
      <c r="K131" s="21">
        <v>0.00936</v>
      </c>
      <c r="L131" s="21">
        <f>F131*K131</f>
        <v>0.02808</v>
      </c>
      <c r="M131" s="22" t="s">
        <v>55</v>
      </c>
      <c r="N131" s="2"/>
      <c r="Z131" s="21">
        <f>IF(AQ131="5",BJ131,0)</f>
        <v>0</v>
      </c>
      <c r="AB131" s="21">
        <f>IF(AQ131="1",BH131,0)</f>
        <v>0</v>
      </c>
      <c r="AC131" s="21">
        <f>IF(AQ131="1",BI131,0)</f>
        <v>0</v>
      </c>
      <c r="AD131" s="21">
        <f>IF(AQ131="7",BH131,0)</f>
        <v>0</v>
      </c>
      <c r="AE131" s="21">
        <f>IF(AQ131="7",BI131,0)</f>
        <v>0</v>
      </c>
      <c r="AF131" s="21">
        <f>IF(AQ131="2",BH131,0)</f>
        <v>0</v>
      </c>
      <c r="AG131" s="21">
        <f>IF(AQ131="2",BI131,0)</f>
        <v>0</v>
      </c>
      <c r="AH131" s="21">
        <f>IF(AQ131="0",BJ131,0)</f>
        <v>0</v>
      </c>
      <c r="AI131" s="10"/>
      <c r="AJ131" s="21">
        <f>IF(AN131=0,J131,0)</f>
        <v>0</v>
      </c>
      <c r="AK131" s="21">
        <f>IF(AN131=15,J131,0)</f>
        <v>0</v>
      </c>
      <c r="AL131" s="21">
        <f>IF(AN131=21,J131,0)</f>
        <v>0</v>
      </c>
      <c r="AN131" s="21">
        <v>21</v>
      </c>
      <c r="AO131" s="21">
        <f>G131*0.0118234134959461</f>
        <v>0</v>
      </c>
      <c r="AP131" s="21">
        <f>G131*(1-0.0118234134959461)</f>
        <v>0</v>
      </c>
      <c r="AQ131" s="23" t="s">
        <v>51</v>
      </c>
      <c r="AV131" s="21">
        <f>AW131+AX131</f>
        <v>0</v>
      </c>
      <c r="AW131" s="21">
        <f>F131*AO131</f>
        <v>0</v>
      </c>
      <c r="AX131" s="21">
        <f>F131*AP131</f>
        <v>0</v>
      </c>
      <c r="AY131" s="23" t="s">
        <v>293</v>
      </c>
      <c r="AZ131" s="23" t="s">
        <v>285</v>
      </c>
      <c r="BA131" s="10" t="s">
        <v>58</v>
      </c>
      <c r="BC131" s="21">
        <f>AW131+AX131</f>
        <v>0</v>
      </c>
      <c r="BD131" s="21">
        <f>G131/(100-BE131)*100</f>
        <v>0</v>
      </c>
      <c r="BE131" s="21">
        <v>0</v>
      </c>
      <c r="BF131" s="21">
        <f>L131</f>
        <v>0.02808</v>
      </c>
      <c r="BH131" s="21">
        <f>F131*AO131</f>
        <v>0</v>
      </c>
      <c r="BI131" s="21">
        <f>F131*AP131</f>
        <v>0</v>
      </c>
      <c r="BJ131" s="21">
        <f>F131*G131</f>
        <v>0</v>
      </c>
      <c r="BK131" s="21" t="s">
        <v>59</v>
      </c>
      <c r="BL131" s="21">
        <v>89</v>
      </c>
    </row>
    <row r="132" spans="1:14" ht="15">
      <c r="A132" s="2"/>
      <c r="C132" s="24" t="s">
        <v>67</v>
      </c>
      <c r="D132" s="24"/>
      <c r="F132" s="25">
        <v>3</v>
      </c>
      <c r="M132" s="26"/>
      <c r="N132" s="2"/>
    </row>
    <row r="133" spans="1:14" ht="25.65" customHeight="1">
      <c r="A133" s="2"/>
      <c r="B133" s="27" t="s">
        <v>61</v>
      </c>
      <c r="C133" s="634" t="s">
        <v>520</v>
      </c>
      <c r="D133" s="635"/>
      <c r="E133" s="635"/>
      <c r="F133" s="635"/>
      <c r="G133" s="635"/>
      <c r="H133" s="635"/>
      <c r="I133" s="635"/>
      <c r="J133" s="635"/>
      <c r="K133" s="635"/>
      <c r="L133" s="635"/>
      <c r="M133" s="636"/>
      <c r="N133" s="2"/>
    </row>
    <row r="134" spans="1:64" ht="15">
      <c r="A134" s="20" t="s">
        <v>270</v>
      </c>
      <c r="B134" s="3" t="s">
        <v>521</v>
      </c>
      <c r="C134" s="618" t="s">
        <v>522</v>
      </c>
      <c r="D134" s="608"/>
      <c r="E134" s="3" t="s">
        <v>260</v>
      </c>
      <c r="F134" s="21">
        <v>3</v>
      </c>
      <c r="G134" s="537"/>
      <c r="H134" s="21">
        <f>F134*AO134</f>
        <v>0</v>
      </c>
      <c r="I134" s="21">
        <f>F134*AP134</f>
        <v>0</v>
      </c>
      <c r="J134" s="21">
        <f>F134*G134</f>
        <v>0</v>
      </c>
      <c r="K134" s="21">
        <v>0.038</v>
      </c>
      <c r="L134" s="21">
        <f>F134*K134</f>
        <v>0.11399999999999999</v>
      </c>
      <c r="M134" s="539" t="s">
        <v>2130</v>
      </c>
      <c r="N134" s="2"/>
      <c r="Z134" s="21">
        <f>IF(AQ134="5",BJ134,0)</f>
        <v>0</v>
      </c>
      <c r="AB134" s="21">
        <f>IF(AQ134="1",BH134,0)</f>
        <v>0</v>
      </c>
      <c r="AC134" s="21">
        <f>IF(AQ134="1",BI134,0)</f>
        <v>0</v>
      </c>
      <c r="AD134" s="21">
        <f>IF(AQ134="7",BH134,0)</f>
        <v>0</v>
      </c>
      <c r="AE134" s="21">
        <f>IF(AQ134="7",BI134,0)</f>
        <v>0</v>
      </c>
      <c r="AF134" s="21">
        <f>IF(AQ134="2",BH134,0)</f>
        <v>0</v>
      </c>
      <c r="AG134" s="21">
        <f>IF(AQ134="2",BI134,0)</f>
        <v>0</v>
      </c>
      <c r="AH134" s="21">
        <f>IF(AQ134="0",BJ134,0)</f>
        <v>0</v>
      </c>
      <c r="AI134" s="10"/>
      <c r="AJ134" s="21">
        <f>IF(AN134=0,J134,0)</f>
        <v>0</v>
      </c>
      <c r="AK134" s="21">
        <f>IF(AN134=15,J134,0)</f>
        <v>0</v>
      </c>
      <c r="AL134" s="21">
        <f>IF(AN134=21,J134,0)</f>
        <v>0</v>
      </c>
      <c r="AN134" s="21">
        <v>21</v>
      </c>
      <c r="AO134" s="21">
        <f>G134*1</f>
        <v>0</v>
      </c>
      <c r="AP134" s="21">
        <f>G134*(1-1)</f>
        <v>0</v>
      </c>
      <c r="AQ134" s="23" t="s">
        <v>51</v>
      </c>
      <c r="AV134" s="21">
        <f>AW134+AX134</f>
        <v>0</v>
      </c>
      <c r="AW134" s="21">
        <f>F134*AO134</f>
        <v>0</v>
      </c>
      <c r="AX134" s="21">
        <f>F134*AP134</f>
        <v>0</v>
      </c>
      <c r="AY134" s="23" t="s">
        <v>293</v>
      </c>
      <c r="AZ134" s="23" t="s">
        <v>285</v>
      </c>
      <c r="BA134" s="10" t="s">
        <v>58</v>
      </c>
      <c r="BC134" s="21">
        <f>AW134+AX134</f>
        <v>0</v>
      </c>
      <c r="BD134" s="21">
        <f>G134/(100-BE134)*100</f>
        <v>0</v>
      </c>
      <c r="BE134" s="21">
        <v>0</v>
      </c>
      <c r="BF134" s="21">
        <f>L134</f>
        <v>0.11399999999999999</v>
      </c>
      <c r="BH134" s="21">
        <f>F134*AO134</f>
        <v>0</v>
      </c>
      <c r="BI134" s="21">
        <f>F134*AP134</f>
        <v>0</v>
      </c>
      <c r="BJ134" s="21">
        <f>F134*G134</f>
        <v>0</v>
      </c>
      <c r="BK134" s="21" t="s">
        <v>201</v>
      </c>
      <c r="BL134" s="21">
        <v>89</v>
      </c>
    </row>
    <row r="135" spans="1:14" ht="15">
      <c r="A135" s="2"/>
      <c r="C135" s="24" t="s">
        <v>67</v>
      </c>
      <c r="D135" s="24"/>
      <c r="F135" s="25">
        <v>3</v>
      </c>
      <c r="M135" s="26"/>
      <c r="N135" s="2"/>
    </row>
    <row r="136" spans="1:47" ht="15">
      <c r="A136" s="41"/>
      <c r="B136" s="42" t="s">
        <v>294</v>
      </c>
      <c r="C136" s="637" t="s">
        <v>295</v>
      </c>
      <c r="D136" s="638"/>
      <c r="E136" s="43" t="s">
        <v>4</v>
      </c>
      <c r="F136" s="43" t="s">
        <v>4</v>
      </c>
      <c r="G136" s="43" t="s">
        <v>4</v>
      </c>
      <c r="H136" s="44">
        <f>SUM(H137:H189)</f>
        <v>0</v>
      </c>
      <c r="I136" s="44">
        <f>SUM(I137:I189)</f>
        <v>0</v>
      </c>
      <c r="J136" s="44">
        <f>SUM(J137:J189)</f>
        <v>0</v>
      </c>
      <c r="K136" s="45"/>
      <c r="L136" s="44">
        <f>SUM(L137:L189)</f>
        <v>193.617789</v>
      </c>
      <c r="M136" s="46"/>
      <c r="N136" s="2"/>
      <c r="AI136" s="10"/>
      <c r="AS136" s="19">
        <f>SUM(AJ137:AJ189)</f>
        <v>0</v>
      </c>
      <c r="AT136" s="19">
        <f>SUM(AK137:AK189)</f>
        <v>0</v>
      </c>
      <c r="AU136" s="19">
        <f>SUM(AL137:AL189)</f>
        <v>0</v>
      </c>
    </row>
    <row r="137" spans="1:64" ht="15">
      <c r="A137" s="20" t="s">
        <v>275</v>
      </c>
      <c r="B137" s="3" t="s">
        <v>297</v>
      </c>
      <c r="C137" s="618" t="s">
        <v>298</v>
      </c>
      <c r="D137" s="608"/>
      <c r="E137" s="3" t="s">
        <v>74</v>
      </c>
      <c r="F137" s="21">
        <v>763.2</v>
      </c>
      <c r="G137" s="537"/>
      <c r="H137" s="21">
        <f>F137*AO137</f>
        <v>0</v>
      </c>
      <c r="I137" s="21">
        <f>F137*AP137</f>
        <v>0</v>
      </c>
      <c r="J137" s="21">
        <f>F137*G137</f>
        <v>0</v>
      </c>
      <c r="K137" s="21">
        <v>0.188</v>
      </c>
      <c r="L137" s="21">
        <f>F137*K137</f>
        <v>143.48160000000001</v>
      </c>
      <c r="M137" s="22" t="s">
        <v>55</v>
      </c>
      <c r="N137" s="2"/>
      <c r="Z137" s="21">
        <f>IF(AQ137="5",BJ137,0)</f>
        <v>0</v>
      </c>
      <c r="AB137" s="21">
        <f>IF(AQ137="1",BH137,0)</f>
        <v>0</v>
      </c>
      <c r="AC137" s="21">
        <f>IF(AQ137="1",BI137,0)</f>
        <v>0</v>
      </c>
      <c r="AD137" s="21">
        <f>IF(AQ137="7",BH137,0)</f>
        <v>0</v>
      </c>
      <c r="AE137" s="21">
        <f>IF(AQ137="7",BI137,0)</f>
        <v>0</v>
      </c>
      <c r="AF137" s="21">
        <f>IF(AQ137="2",BH137,0)</f>
        <v>0</v>
      </c>
      <c r="AG137" s="21">
        <f>IF(AQ137="2",BI137,0)</f>
        <v>0</v>
      </c>
      <c r="AH137" s="21">
        <f>IF(AQ137="0",BJ137,0)</f>
        <v>0</v>
      </c>
      <c r="AI137" s="10"/>
      <c r="AJ137" s="21">
        <f>IF(AN137=0,J137,0)</f>
        <v>0</v>
      </c>
      <c r="AK137" s="21">
        <f>IF(AN137=15,J137,0)</f>
        <v>0</v>
      </c>
      <c r="AL137" s="21">
        <f>IF(AN137=21,J137,0)</f>
        <v>0</v>
      </c>
      <c r="AN137" s="21">
        <v>21</v>
      </c>
      <c r="AO137" s="21">
        <f>G137*0.559380097879282</f>
        <v>0</v>
      </c>
      <c r="AP137" s="21">
        <f>G137*(1-0.559380097879282)</f>
        <v>0</v>
      </c>
      <c r="AQ137" s="23" t="s">
        <v>51</v>
      </c>
      <c r="AV137" s="21">
        <f>AW137+AX137</f>
        <v>0</v>
      </c>
      <c r="AW137" s="21">
        <f>F137*AO137</f>
        <v>0</v>
      </c>
      <c r="AX137" s="21">
        <f>F137*AP137</f>
        <v>0</v>
      </c>
      <c r="AY137" s="23" t="s">
        <v>299</v>
      </c>
      <c r="AZ137" s="23" t="s">
        <v>300</v>
      </c>
      <c r="BA137" s="10" t="s">
        <v>58</v>
      </c>
      <c r="BC137" s="21">
        <f>AW137+AX137</f>
        <v>0</v>
      </c>
      <c r="BD137" s="21">
        <f>G137/(100-BE137)*100</f>
        <v>0</v>
      </c>
      <c r="BE137" s="21">
        <v>0</v>
      </c>
      <c r="BF137" s="21">
        <f>L137</f>
        <v>143.48160000000001</v>
      </c>
      <c r="BH137" s="21">
        <f>F137*AO137</f>
        <v>0</v>
      </c>
      <c r="BI137" s="21">
        <f>F137*AP137</f>
        <v>0</v>
      </c>
      <c r="BJ137" s="21">
        <f>F137*G137</f>
        <v>0</v>
      </c>
      <c r="BK137" s="21" t="s">
        <v>59</v>
      </c>
      <c r="BL137" s="21">
        <v>91</v>
      </c>
    </row>
    <row r="138" spans="1:14" ht="15">
      <c r="A138" s="2"/>
      <c r="C138" s="24" t="s">
        <v>606</v>
      </c>
      <c r="D138" s="24"/>
      <c r="F138" s="25">
        <v>763.2</v>
      </c>
      <c r="M138" s="26"/>
      <c r="N138" s="2"/>
    </row>
    <row r="139" spans="1:14" ht="15">
      <c r="A139" s="2"/>
      <c r="B139" s="27" t="s">
        <v>61</v>
      </c>
      <c r="C139" s="634" t="s">
        <v>304</v>
      </c>
      <c r="D139" s="635"/>
      <c r="E139" s="635"/>
      <c r="F139" s="635"/>
      <c r="G139" s="635"/>
      <c r="H139" s="635"/>
      <c r="I139" s="635"/>
      <c r="J139" s="635"/>
      <c r="K139" s="635"/>
      <c r="L139" s="635"/>
      <c r="M139" s="636"/>
      <c r="N139" s="2"/>
    </row>
    <row r="140" spans="1:64" ht="15">
      <c r="A140" s="20" t="s">
        <v>281</v>
      </c>
      <c r="B140" s="3" t="s">
        <v>306</v>
      </c>
      <c r="C140" s="618" t="s">
        <v>307</v>
      </c>
      <c r="D140" s="608"/>
      <c r="E140" s="3" t="s">
        <v>260</v>
      </c>
      <c r="F140" s="21">
        <v>392.89</v>
      </c>
      <c r="G140" s="537"/>
      <c r="H140" s="21">
        <f>F140*AO140</f>
        <v>0</v>
      </c>
      <c r="I140" s="21">
        <f>F140*AP140</f>
        <v>0</v>
      </c>
      <c r="J140" s="21">
        <f>F140*G140</f>
        <v>0</v>
      </c>
      <c r="K140" s="21">
        <v>0.08</v>
      </c>
      <c r="L140" s="21">
        <f>F140*K140</f>
        <v>31.4312</v>
      </c>
      <c r="M140" s="22" t="s">
        <v>55</v>
      </c>
      <c r="N140" s="2"/>
      <c r="Z140" s="21">
        <f>IF(AQ140="5",BJ140,0)</f>
        <v>0</v>
      </c>
      <c r="AB140" s="21">
        <f>IF(AQ140="1",BH140,0)</f>
        <v>0</v>
      </c>
      <c r="AC140" s="21">
        <f>IF(AQ140="1",BI140,0)</f>
        <v>0</v>
      </c>
      <c r="AD140" s="21">
        <f>IF(AQ140="7",BH140,0)</f>
        <v>0</v>
      </c>
      <c r="AE140" s="21">
        <f>IF(AQ140="7",BI140,0)</f>
        <v>0</v>
      </c>
      <c r="AF140" s="21">
        <f>IF(AQ140="2",BH140,0)</f>
        <v>0</v>
      </c>
      <c r="AG140" s="21">
        <f>IF(AQ140="2",BI140,0)</f>
        <v>0</v>
      </c>
      <c r="AH140" s="21">
        <f>IF(AQ140="0",BJ140,0)</f>
        <v>0</v>
      </c>
      <c r="AI140" s="10"/>
      <c r="AJ140" s="21">
        <f>IF(AN140=0,J140,0)</f>
        <v>0</v>
      </c>
      <c r="AK140" s="21">
        <f>IF(AN140=15,J140,0)</f>
        <v>0</v>
      </c>
      <c r="AL140" s="21">
        <f>IF(AN140=21,J140,0)</f>
        <v>0</v>
      </c>
      <c r="AN140" s="21">
        <v>21</v>
      </c>
      <c r="AO140" s="21">
        <f>G140*1</f>
        <v>0</v>
      </c>
      <c r="AP140" s="21">
        <f>G140*(1-1)</f>
        <v>0</v>
      </c>
      <c r="AQ140" s="23" t="s">
        <v>51</v>
      </c>
      <c r="AV140" s="21">
        <f>AW140+AX140</f>
        <v>0</v>
      </c>
      <c r="AW140" s="21">
        <f>F140*AO140</f>
        <v>0</v>
      </c>
      <c r="AX140" s="21">
        <f>F140*AP140</f>
        <v>0</v>
      </c>
      <c r="AY140" s="23" t="s">
        <v>299</v>
      </c>
      <c r="AZ140" s="23" t="s">
        <v>300</v>
      </c>
      <c r="BA140" s="10" t="s">
        <v>58</v>
      </c>
      <c r="BC140" s="21">
        <f>AW140+AX140</f>
        <v>0</v>
      </c>
      <c r="BD140" s="21">
        <f>G140/(100-BE140)*100</f>
        <v>0</v>
      </c>
      <c r="BE140" s="21">
        <v>0</v>
      </c>
      <c r="BF140" s="21">
        <f>L140</f>
        <v>31.4312</v>
      </c>
      <c r="BH140" s="21">
        <f>F140*AO140</f>
        <v>0</v>
      </c>
      <c r="BI140" s="21">
        <f>F140*AP140</f>
        <v>0</v>
      </c>
      <c r="BJ140" s="21">
        <f>F140*G140</f>
        <v>0</v>
      </c>
      <c r="BK140" s="21" t="s">
        <v>201</v>
      </c>
      <c r="BL140" s="21">
        <v>91</v>
      </c>
    </row>
    <row r="141" spans="1:14" ht="15">
      <c r="A141" s="2"/>
      <c r="C141" s="24" t="s">
        <v>607</v>
      </c>
      <c r="D141" s="24"/>
      <c r="F141" s="25">
        <v>389</v>
      </c>
      <c r="M141" s="26"/>
      <c r="N141" s="2"/>
    </row>
    <row r="142" spans="1:14" ht="15">
      <c r="A142" s="2"/>
      <c r="C142" s="24" t="s">
        <v>608</v>
      </c>
      <c r="D142" s="24"/>
      <c r="F142" s="25">
        <v>3.89</v>
      </c>
      <c r="M142" s="26"/>
      <c r="N142" s="2"/>
    </row>
    <row r="143" spans="1:14" ht="15">
      <c r="A143" s="2"/>
      <c r="B143" s="27"/>
      <c r="C143" s="634"/>
      <c r="D143" s="635"/>
      <c r="E143" s="635"/>
      <c r="F143" s="635"/>
      <c r="G143" s="635"/>
      <c r="H143" s="635"/>
      <c r="I143" s="635"/>
      <c r="J143" s="635"/>
      <c r="K143" s="635"/>
      <c r="L143" s="635"/>
      <c r="M143" s="636"/>
      <c r="N143" s="2"/>
    </row>
    <row r="144" spans="1:64" ht="15">
      <c r="A144" s="20" t="s">
        <v>290</v>
      </c>
      <c r="B144" s="3" t="s">
        <v>310</v>
      </c>
      <c r="C144" s="618" t="s">
        <v>311</v>
      </c>
      <c r="D144" s="608"/>
      <c r="E144" s="3" t="s">
        <v>260</v>
      </c>
      <c r="F144" s="21">
        <v>298.96</v>
      </c>
      <c r="G144" s="537"/>
      <c r="H144" s="21">
        <f>F144*AO144</f>
        <v>0</v>
      </c>
      <c r="I144" s="21">
        <f>F144*AP144</f>
        <v>0</v>
      </c>
      <c r="J144" s="21">
        <f>F144*G144</f>
        <v>0</v>
      </c>
      <c r="K144" s="21">
        <v>0.046</v>
      </c>
      <c r="L144" s="21">
        <f>F144*K144</f>
        <v>13.752159999999998</v>
      </c>
      <c r="M144" s="22" t="s">
        <v>55</v>
      </c>
      <c r="N144" s="2"/>
      <c r="Z144" s="21">
        <f>IF(AQ144="5",BJ144,0)</f>
        <v>0</v>
      </c>
      <c r="AB144" s="21">
        <f>IF(AQ144="1",BH144,0)</f>
        <v>0</v>
      </c>
      <c r="AC144" s="21">
        <f>IF(AQ144="1",BI144,0)</f>
        <v>0</v>
      </c>
      <c r="AD144" s="21">
        <f>IF(AQ144="7",BH144,0)</f>
        <v>0</v>
      </c>
      <c r="AE144" s="21">
        <f>IF(AQ144="7",BI144,0)</f>
        <v>0</v>
      </c>
      <c r="AF144" s="21">
        <f>IF(AQ144="2",BH144,0)</f>
        <v>0</v>
      </c>
      <c r="AG144" s="21">
        <f>IF(AQ144="2",BI144,0)</f>
        <v>0</v>
      </c>
      <c r="AH144" s="21">
        <f>IF(AQ144="0",BJ144,0)</f>
        <v>0</v>
      </c>
      <c r="AI144" s="10"/>
      <c r="AJ144" s="21">
        <f>IF(AN144=0,J144,0)</f>
        <v>0</v>
      </c>
      <c r="AK144" s="21">
        <f>IF(AN144=15,J144,0)</f>
        <v>0</v>
      </c>
      <c r="AL144" s="21">
        <f>IF(AN144=21,J144,0)</f>
        <v>0</v>
      </c>
      <c r="AN144" s="21">
        <v>21</v>
      </c>
      <c r="AO144" s="21">
        <f>G144*1</f>
        <v>0</v>
      </c>
      <c r="AP144" s="21">
        <f>G144*(1-1)</f>
        <v>0</v>
      </c>
      <c r="AQ144" s="23" t="s">
        <v>51</v>
      </c>
      <c r="AV144" s="21">
        <f>AW144+AX144</f>
        <v>0</v>
      </c>
      <c r="AW144" s="21">
        <f>F144*AO144</f>
        <v>0</v>
      </c>
      <c r="AX144" s="21">
        <f>F144*AP144</f>
        <v>0</v>
      </c>
      <c r="AY144" s="23" t="s">
        <v>299</v>
      </c>
      <c r="AZ144" s="23" t="s">
        <v>300</v>
      </c>
      <c r="BA144" s="10" t="s">
        <v>58</v>
      </c>
      <c r="BC144" s="21">
        <f>AW144+AX144</f>
        <v>0</v>
      </c>
      <c r="BD144" s="21">
        <f>G144/(100-BE144)*100</f>
        <v>0</v>
      </c>
      <c r="BE144" s="21">
        <v>0</v>
      </c>
      <c r="BF144" s="21">
        <f>L144</f>
        <v>13.752159999999998</v>
      </c>
      <c r="BH144" s="21">
        <f>F144*AO144</f>
        <v>0</v>
      </c>
      <c r="BI144" s="21">
        <f>F144*AP144</f>
        <v>0</v>
      </c>
      <c r="BJ144" s="21">
        <f>F144*G144</f>
        <v>0</v>
      </c>
      <c r="BK144" s="21" t="s">
        <v>201</v>
      </c>
      <c r="BL144" s="21">
        <v>91</v>
      </c>
    </row>
    <row r="145" spans="1:14" ht="15">
      <c r="A145" s="2"/>
      <c r="C145" s="24" t="s">
        <v>609</v>
      </c>
      <c r="D145" s="24"/>
      <c r="F145" s="25">
        <v>296</v>
      </c>
      <c r="M145" s="26"/>
      <c r="N145" s="2"/>
    </row>
    <row r="146" spans="1:14" ht="15">
      <c r="A146" s="2"/>
      <c r="C146" s="24" t="s">
        <v>610</v>
      </c>
      <c r="D146" s="24"/>
      <c r="F146" s="25">
        <v>2.96</v>
      </c>
      <c r="M146" s="26"/>
      <c r="N146" s="2"/>
    </row>
    <row r="147" spans="1:14" ht="15">
      <c r="A147" s="2"/>
      <c r="B147" s="27"/>
      <c r="C147" s="634"/>
      <c r="D147" s="635"/>
      <c r="E147" s="635"/>
      <c r="F147" s="635"/>
      <c r="G147" s="635"/>
      <c r="H147" s="635"/>
      <c r="I147" s="635"/>
      <c r="J147" s="635"/>
      <c r="K147" s="635"/>
      <c r="L147" s="635"/>
      <c r="M147" s="636"/>
      <c r="N147" s="2"/>
    </row>
    <row r="148" spans="1:64" ht="15">
      <c r="A148" s="20" t="s">
        <v>296</v>
      </c>
      <c r="B148" s="3" t="s">
        <v>316</v>
      </c>
      <c r="C148" s="618" t="s">
        <v>317</v>
      </c>
      <c r="D148" s="608"/>
      <c r="E148" s="3" t="s">
        <v>260</v>
      </c>
      <c r="F148" s="21">
        <v>63.63</v>
      </c>
      <c r="G148" s="537"/>
      <c r="H148" s="21">
        <f>F148*AO148</f>
        <v>0</v>
      </c>
      <c r="I148" s="21">
        <f>F148*AP148</f>
        <v>0</v>
      </c>
      <c r="J148" s="21">
        <f>F148*G148</f>
        <v>0</v>
      </c>
      <c r="K148" s="21">
        <v>0.0483</v>
      </c>
      <c r="L148" s="21">
        <f>F148*K148</f>
        <v>3.073329</v>
      </c>
      <c r="M148" s="22" t="s">
        <v>55</v>
      </c>
      <c r="N148" s="2"/>
      <c r="Z148" s="21">
        <f>IF(AQ148="5",BJ148,0)</f>
        <v>0</v>
      </c>
      <c r="AB148" s="21">
        <f>IF(AQ148="1",BH148,0)</f>
        <v>0</v>
      </c>
      <c r="AC148" s="21">
        <f>IF(AQ148="1",BI148,0)</f>
        <v>0</v>
      </c>
      <c r="AD148" s="21">
        <f>IF(AQ148="7",BH148,0)</f>
        <v>0</v>
      </c>
      <c r="AE148" s="21">
        <f>IF(AQ148="7",BI148,0)</f>
        <v>0</v>
      </c>
      <c r="AF148" s="21">
        <f>IF(AQ148="2",BH148,0)</f>
        <v>0</v>
      </c>
      <c r="AG148" s="21">
        <f>IF(AQ148="2",BI148,0)</f>
        <v>0</v>
      </c>
      <c r="AH148" s="21">
        <f>IF(AQ148="0",BJ148,0)</f>
        <v>0</v>
      </c>
      <c r="AI148" s="10"/>
      <c r="AJ148" s="21">
        <f>IF(AN148=0,J148,0)</f>
        <v>0</v>
      </c>
      <c r="AK148" s="21">
        <f>IF(AN148=15,J148,0)</f>
        <v>0</v>
      </c>
      <c r="AL148" s="21">
        <f>IF(AN148=21,J148,0)</f>
        <v>0</v>
      </c>
      <c r="AN148" s="21">
        <v>21</v>
      </c>
      <c r="AO148" s="21">
        <f>G148*1</f>
        <v>0</v>
      </c>
      <c r="AP148" s="21">
        <f>G148*(1-1)</f>
        <v>0</v>
      </c>
      <c r="AQ148" s="23" t="s">
        <v>51</v>
      </c>
      <c r="AV148" s="21">
        <f>AW148+AX148</f>
        <v>0</v>
      </c>
      <c r="AW148" s="21">
        <f>F148*AO148</f>
        <v>0</v>
      </c>
      <c r="AX148" s="21">
        <f>F148*AP148</f>
        <v>0</v>
      </c>
      <c r="AY148" s="23" t="s">
        <v>299</v>
      </c>
      <c r="AZ148" s="23" t="s">
        <v>300</v>
      </c>
      <c r="BA148" s="10" t="s">
        <v>58</v>
      </c>
      <c r="BC148" s="21">
        <f>AW148+AX148</f>
        <v>0</v>
      </c>
      <c r="BD148" s="21">
        <f>G148/(100-BE148)*100</f>
        <v>0</v>
      </c>
      <c r="BE148" s="21">
        <v>0</v>
      </c>
      <c r="BF148" s="21">
        <f>L148</f>
        <v>3.073329</v>
      </c>
      <c r="BH148" s="21">
        <f>F148*AO148</f>
        <v>0</v>
      </c>
      <c r="BI148" s="21">
        <f>F148*AP148</f>
        <v>0</v>
      </c>
      <c r="BJ148" s="21">
        <f>F148*G148</f>
        <v>0</v>
      </c>
      <c r="BK148" s="21" t="s">
        <v>201</v>
      </c>
      <c r="BL148" s="21">
        <v>91</v>
      </c>
    </row>
    <row r="149" spans="1:14" ht="15">
      <c r="A149" s="2"/>
      <c r="C149" s="24" t="s">
        <v>359</v>
      </c>
      <c r="D149" s="24"/>
      <c r="F149" s="25">
        <v>63</v>
      </c>
      <c r="M149" s="26"/>
      <c r="N149" s="2"/>
    </row>
    <row r="150" spans="1:14" ht="15">
      <c r="A150" s="2"/>
      <c r="C150" s="24" t="s">
        <v>611</v>
      </c>
      <c r="D150" s="24"/>
      <c r="F150" s="25">
        <v>0.63</v>
      </c>
      <c r="M150" s="26"/>
      <c r="N150" s="2"/>
    </row>
    <row r="151" spans="1:64" ht="15">
      <c r="A151" s="20" t="s">
        <v>305</v>
      </c>
      <c r="B151" s="3" t="s">
        <v>320</v>
      </c>
      <c r="C151" s="618" t="s">
        <v>321</v>
      </c>
      <c r="D151" s="608"/>
      <c r="E151" s="3" t="s">
        <v>260</v>
      </c>
      <c r="F151" s="21">
        <v>5</v>
      </c>
      <c r="G151" s="537"/>
      <c r="H151" s="21">
        <f>F151*AO151</f>
        <v>0</v>
      </c>
      <c r="I151" s="21">
        <f>F151*AP151</f>
        <v>0</v>
      </c>
      <c r="J151" s="21">
        <f>F151*G151</f>
        <v>0</v>
      </c>
      <c r="K151" s="21">
        <v>0.069</v>
      </c>
      <c r="L151" s="21">
        <f>F151*K151</f>
        <v>0.34500000000000003</v>
      </c>
      <c r="M151" s="22" t="s">
        <v>55</v>
      </c>
      <c r="N151" s="2"/>
      <c r="Z151" s="21">
        <f>IF(AQ151="5",BJ151,0)</f>
        <v>0</v>
      </c>
      <c r="AB151" s="21">
        <f>IF(AQ151="1",BH151,0)</f>
        <v>0</v>
      </c>
      <c r="AC151" s="21">
        <f>IF(AQ151="1",BI151,0)</f>
        <v>0</v>
      </c>
      <c r="AD151" s="21">
        <f>IF(AQ151="7",BH151,0)</f>
        <v>0</v>
      </c>
      <c r="AE151" s="21">
        <f>IF(AQ151="7",BI151,0)</f>
        <v>0</v>
      </c>
      <c r="AF151" s="21">
        <f>IF(AQ151="2",BH151,0)</f>
        <v>0</v>
      </c>
      <c r="AG151" s="21">
        <f>IF(AQ151="2",BI151,0)</f>
        <v>0</v>
      </c>
      <c r="AH151" s="21">
        <f>IF(AQ151="0",BJ151,0)</f>
        <v>0</v>
      </c>
      <c r="AI151" s="10"/>
      <c r="AJ151" s="21">
        <f>IF(AN151=0,J151,0)</f>
        <v>0</v>
      </c>
      <c r="AK151" s="21">
        <f>IF(AN151=15,J151,0)</f>
        <v>0</v>
      </c>
      <c r="AL151" s="21">
        <f>IF(AN151=21,J151,0)</f>
        <v>0</v>
      </c>
      <c r="AN151" s="21">
        <v>21</v>
      </c>
      <c r="AO151" s="21">
        <f>G151*1</f>
        <v>0</v>
      </c>
      <c r="AP151" s="21">
        <f>G151*(1-1)</f>
        <v>0</v>
      </c>
      <c r="AQ151" s="23" t="s">
        <v>51</v>
      </c>
      <c r="AV151" s="21">
        <f>AW151+AX151</f>
        <v>0</v>
      </c>
      <c r="AW151" s="21">
        <f>F151*AO151</f>
        <v>0</v>
      </c>
      <c r="AX151" s="21">
        <f>F151*AP151</f>
        <v>0</v>
      </c>
      <c r="AY151" s="23" t="s">
        <v>299</v>
      </c>
      <c r="AZ151" s="23" t="s">
        <v>300</v>
      </c>
      <c r="BA151" s="10" t="s">
        <v>58</v>
      </c>
      <c r="BC151" s="21">
        <f>AW151+AX151</f>
        <v>0</v>
      </c>
      <c r="BD151" s="21">
        <f>G151/(100-BE151)*100</f>
        <v>0</v>
      </c>
      <c r="BE151" s="21">
        <v>0</v>
      </c>
      <c r="BF151" s="21">
        <f>L151</f>
        <v>0.34500000000000003</v>
      </c>
      <c r="BH151" s="21">
        <f>F151*AO151</f>
        <v>0</v>
      </c>
      <c r="BI151" s="21">
        <f>F151*AP151</f>
        <v>0</v>
      </c>
      <c r="BJ151" s="21">
        <f>F151*G151</f>
        <v>0</v>
      </c>
      <c r="BK151" s="21" t="s">
        <v>201</v>
      </c>
      <c r="BL151" s="21">
        <v>91</v>
      </c>
    </row>
    <row r="152" spans="1:14" ht="15">
      <c r="A152" s="2"/>
      <c r="C152" s="24" t="s">
        <v>78</v>
      </c>
      <c r="D152" s="24"/>
      <c r="F152" s="25">
        <v>5</v>
      </c>
      <c r="M152" s="26"/>
      <c r="N152" s="2"/>
    </row>
    <row r="153" spans="1:14" ht="15">
      <c r="A153" s="2"/>
      <c r="B153" s="27"/>
      <c r="C153" s="634"/>
      <c r="D153" s="635"/>
      <c r="E153" s="635"/>
      <c r="F153" s="635"/>
      <c r="G153" s="635"/>
      <c r="H153" s="635"/>
      <c r="I153" s="635"/>
      <c r="J153" s="635"/>
      <c r="K153" s="635"/>
      <c r="L153" s="635"/>
      <c r="M153" s="636"/>
      <c r="N153" s="2"/>
    </row>
    <row r="154" spans="1:64" ht="15">
      <c r="A154" s="20" t="s">
        <v>232</v>
      </c>
      <c r="B154" s="3" t="s">
        <v>323</v>
      </c>
      <c r="C154" s="618" t="s">
        <v>324</v>
      </c>
      <c r="D154" s="608"/>
      <c r="E154" s="3" t="s">
        <v>260</v>
      </c>
      <c r="F154" s="21">
        <v>6</v>
      </c>
      <c r="G154" s="537"/>
      <c r="H154" s="21">
        <f>F154*AO154</f>
        <v>0</v>
      </c>
      <c r="I154" s="21">
        <f>F154*AP154</f>
        <v>0</v>
      </c>
      <c r="J154" s="21">
        <f>F154*G154</f>
        <v>0</v>
      </c>
      <c r="K154" s="21">
        <v>0.069</v>
      </c>
      <c r="L154" s="21">
        <f>F154*K154</f>
        <v>0.41400000000000003</v>
      </c>
      <c r="M154" s="22" t="s">
        <v>55</v>
      </c>
      <c r="N154" s="2"/>
      <c r="Z154" s="21">
        <f>IF(AQ154="5",BJ154,0)</f>
        <v>0</v>
      </c>
      <c r="AB154" s="21">
        <f>IF(AQ154="1",BH154,0)</f>
        <v>0</v>
      </c>
      <c r="AC154" s="21">
        <f>IF(AQ154="1",BI154,0)</f>
        <v>0</v>
      </c>
      <c r="AD154" s="21">
        <f>IF(AQ154="7",BH154,0)</f>
        <v>0</v>
      </c>
      <c r="AE154" s="21">
        <f>IF(AQ154="7",BI154,0)</f>
        <v>0</v>
      </c>
      <c r="AF154" s="21">
        <f>IF(AQ154="2",BH154,0)</f>
        <v>0</v>
      </c>
      <c r="AG154" s="21">
        <f>IF(AQ154="2",BI154,0)</f>
        <v>0</v>
      </c>
      <c r="AH154" s="21">
        <f>IF(AQ154="0",BJ154,0)</f>
        <v>0</v>
      </c>
      <c r="AI154" s="10"/>
      <c r="AJ154" s="21">
        <f>IF(AN154=0,J154,0)</f>
        <v>0</v>
      </c>
      <c r="AK154" s="21">
        <f>IF(AN154=15,J154,0)</f>
        <v>0</v>
      </c>
      <c r="AL154" s="21">
        <f>IF(AN154=21,J154,0)</f>
        <v>0</v>
      </c>
      <c r="AN154" s="21">
        <v>21</v>
      </c>
      <c r="AO154" s="21">
        <f>G154*1</f>
        <v>0</v>
      </c>
      <c r="AP154" s="21">
        <f>G154*(1-1)</f>
        <v>0</v>
      </c>
      <c r="AQ154" s="23" t="s">
        <v>51</v>
      </c>
      <c r="AV154" s="21">
        <f>AW154+AX154</f>
        <v>0</v>
      </c>
      <c r="AW154" s="21">
        <f>F154*AO154</f>
        <v>0</v>
      </c>
      <c r="AX154" s="21">
        <f>F154*AP154</f>
        <v>0</v>
      </c>
      <c r="AY154" s="23" t="s">
        <v>299</v>
      </c>
      <c r="AZ154" s="23" t="s">
        <v>300</v>
      </c>
      <c r="BA154" s="10" t="s">
        <v>58</v>
      </c>
      <c r="BC154" s="21">
        <f>AW154+AX154</f>
        <v>0</v>
      </c>
      <c r="BD154" s="21">
        <f>G154/(100-BE154)*100</f>
        <v>0</v>
      </c>
      <c r="BE154" s="21">
        <v>0</v>
      </c>
      <c r="BF154" s="21">
        <f>L154</f>
        <v>0.41400000000000003</v>
      </c>
      <c r="BH154" s="21">
        <f>F154*AO154</f>
        <v>0</v>
      </c>
      <c r="BI154" s="21">
        <f>F154*AP154</f>
        <v>0</v>
      </c>
      <c r="BJ154" s="21">
        <f>F154*G154</f>
        <v>0</v>
      </c>
      <c r="BK154" s="21" t="s">
        <v>201</v>
      </c>
      <c r="BL154" s="21">
        <v>91</v>
      </c>
    </row>
    <row r="155" spans="1:14" ht="15">
      <c r="A155" s="2"/>
      <c r="C155" s="24" t="s">
        <v>85</v>
      </c>
      <c r="D155" s="24"/>
      <c r="F155" s="25">
        <v>6</v>
      </c>
      <c r="M155" s="26"/>
      <c r="N155" s="2"/>
    </row>
    <row r="156" spans="1:14" ht="15">
      <c r="A156" s="2"/>
      <c r="B156" s="27"/>
      <c r="C156" s="634"/>
      <c r="D156" s="635"/>
      <c r="E156" s="635"/>
      <c r="F156" s="635"/>
      <c r="G156" s="635"/>
      <c r="H156" s="635"/>
      <c r="I156" s="635"/>
      <c r="J156" s="635"/>
      <c r="K156" s="635"/>
      <c r="L156" s="635"/>
      <c r="M156" s="636"/>
      <c r="N156" s="2"/>
    </row>
    <row r="157" spans="1:64" ht="15">
      <c r="A157" s="20" t="s">
        <v>315</v>
      </c>
      <c r="B157" s="3" t="s">
        <v>612</v>
      </c>
      <c r="C157" s="618" t="s">
        <v>613</v>
      </c>
      <c r="D157" s="608"/>
      <c r="E157" s="3" t="s">
        <v>260</v>
      </c>
      <c r="F157" s="21">
        <v>7</v>
      </c>
      <c r="G157" s="537"/>
      <c r="H157" s="21">
        <f>F157*AO157</f>
        <v>0</v>
      </c>
      <c r="I157" s="21">
        <f>F157*AP157</f>
        <v>0</v>
      </c>
      <c r="J157" s="21">
        <f>F157*G157</f>
        <v>0</v>
      </c>
      <c r="K157" s="21">
        <v>0.067</v>
      </c>
      <c r="L157" s="21">
        <f>F157*K157</f>
        <v>0.46900000000000003</v>
      </c>
      <c r="M157" s="22" t="s">
        <v>55</v>
      </c>
      <c r="N157" s="2"/>
      <c r="Z157" s="21">
        <f>IF(AQ157="5",BJ157,0)</f>
        <v>0</v>
      </c>
      <c r="AB157" s="21">
        <f>IF(AQ157="1",BH157,0)</f>
        <v>0</v>
      </c>
      <c r="AC157" s="21">
        <f>IF(AQ157="1",BI157,0)</f>
        <v>0</v>
      </c>
      <c r="AD157" s="21">
        <f>IF(AQ157="7",BH157,0)</f>
        <v>0</v>
      </c>
      <c r="AE157" s="21">
        <f>IF(AQ157="7",BI157,0)</f>
        <v>0</v>
      </c>
      <c r="AF157" s="21">
        <f>IF(AQ157="2",BH157,0)</f>
        <v>0</v>
      </c>
      <c r="AG157" s="21">
        <f>IF(AQ157="2",BI157,0)</f>
        <v>0</v>
      </c>
      <c r="AH157" s="21">
        <f>IF(AQ157="0",BJ157,0)</f>
        <v>0</v>
      </c>
      <c r="AI157" s="10"/>
      <c r="AJ157" s="21">
        <f>IF(AN157=0,J157,0)</f>
        <v>0</v>
      </c>
      <c r="AK157" s="21">
        <f>IF(AN157=15,J157,0)</f>
        <v>0</v>
      </c>
      <c r="AL157" s="21">
        <f>IF(AN157=21,J157,0)</f>
        <v>0</v>
      </c>
      <c r="AN157" s="21">
        <v>21</v>
      </c>
      <c r="AO157" s="21">
        <f>G157*1</f>
        <v>0</v>
      </c>
      <c r="AP157" s="21">
        <f>G157*(1-1)</f>
        <v>0</v>
      </c>
      <c r="AQ157" s="23" t="s">
        <v>51</v>
      </c>
      <c r="AV157" s="21">
        <f>AW157+AX157</f>
        <v>0</v>
      </c>
      <c r="AW157" s="21">
        <f>F157*AO157</f>
        <v>0</v>
      </c>
      <c r="AX157" s="21">
        <f>F157*AP157</f>
        <v>0</v>
      </c>
      <c r="AY157" s="23" t="s">
        <v>299</v>
      </c>
      <c r="AZ157" s="23" t="s">
        <v>300</v>
      </c>
      <c r="BA157" s="10" t="s">
        <v>58</v>
      </c>
      <c r="BC157" s="21">
        <f>AW157+AX157</f>
        <v>0</v>
      </c>
      <c r="BD157" s="21">
        <f>G157/(100-BE157)*100</f>
        <v>0</v>
      </c>
      <c r="BE157" s="21">
        <v>0</v>
      </c>
      <c r="BF157" s="21">
        <f>L157</f>
        <v>0.46900000000000003</v>
      </c>
      <c r="BH157" s="21">
        <f>F157*AO157</f>
        <v>0</v>
      </c>
      <c r="BI157" s="21">
        <f>F157*AP157</f>
        <v>0</v>
      </c>
      <c r="BJ157" s="21">
        <f>F157*G157</f>
        <v>0</v>
      </c>
      <c r="BK157" s="21" t="s">
        <v>201</v>
      </c>
      <c r="BL157" s="21">
        <v>91</v>
      </c>
    </row>
    <row r="158" spans="1:14" ht="15">
      <c r="A158" s="2"/>
      <c r="C158" s="24" t="s">
        <v>89</v>
      </c>
      <c r="D158" s="24"/>
      <c r="F158" s="25">
        <v>7</v>
      </c>
      <c r="M158" s="26"/>
      <c r="N158" s="2"/>
    </row>
    <row r="159" spans="1:14" ht="25.65" customHeight="1">
      <c r="A159" s="2"/>
      <c r="B159" s="27" t="s">
        <v>61</v>
      </c>
      <c r="C159" s="634" t="s">
        <v>614</v>
      </c>
      <c r="D159" s="635"/>
      <c r="E159" s="635"/>
      <c r="F159" s="635"/>
      <c r="G159" s="635"/>
      <c r="H159" s="635"/>
      <c r="I159" s="635"/>
      <c r="J159" s="635"/>
      <c r="K159" s="635"/>
      <c r="L159" s="635"/>
      <c r="M159" s="636"/>
      <c r="N159" s="2"/>
    </row>
    <row r="160" spans="1:64" ht="15">
      <c r="A160" s="20" t="s">
        <v>319</v>
      </c>
      <c r="B160" s="3" t="s">
        <v>329</v>
      </c>
      <c r="C160" s="618" t="s">
        <v>330</v>
      </c>
      <c r="D160" s="608"/>
      <c r="E160" s="3" t="s">
        <v>54</v>
      </c>
      <c r="F160" s="21">
        <v>24</v>
      </c>
      <c r="G160" s="537"/>
      <c r="H160" s="21">
        <f>F160*AO160</f>
        <v>0</v>
      </c>
      <c r="I160" s="21">
        <f>F160*AP160</f>
        <v>0</v>
      </c>
      <c r="J160" s="21">
        <f>F160*G160</f>
        <v>0</v>
      </c>
      <c r="K160" s="21">
        <v>0.00107</v>
      </c>
      <c r="L160" s="21">
        <f>F160*K160</f>
        <v>0.02568</v>
      </c>
      <c r="M160" s="539" t="s">
        <v>2130</v>
      </c>
      <c r="N160" s="2"/>
      <c r="Z160" s="21">
        <f>IF(AQ160="5",BJ160,0)</f>
        <v>0</v>
      </c>
      <c r="AB160" s="21">
        <f>IF(AQ160="1",BH160,0)</f>
        <v>0</v>
      </c>
      <c r="AC160" s="21">
        <f>IF(AQ160="1",BI160,0)</f>
        <v>0</v>
      </c>
      <c r="AD160" s="21">
        <f>IF(AQ160="7",BH160,0)</f>
        <v>0</v>
      </c>
      <c r="AE160" s="21">
        <f>IF(AQ160="7",BI160,0)</f>
        <v>0</v>
      </c>
      <c r="AF160" s="21">
        <f>IF(AQ160="2",BH160,0)</f>
        <v>0</v>
      </c>
      <c r="AG160" s="21">
        <f>IF(AQ160="2",BI160,0)</f>
        <v>0</v>
      </c>
      <c r="AH160" s="21">
        <f>IF(AQ160="0",BJ160,0)</f>
        <v>0</v>
      </c>
      <c r="AI160" s="10"/>
      <c r="AJ160" s="21">
        <f>IF(AN160=0,J160,0)</f>
        <v>0</v>
      </c>
      <c r="AK160" s="21">
        <f>IF(AN160=15,J160,0)</f>
        <v>0</v>
      </c>
      <c r="AL160" s="21">
        <f>IF(AN160=21,J160,0)</f>
        <v>0</v>
      </c>
      <c r="AN160" s="21">
        <v>21</v>
      </c>
      <c r="AO160" s="21">
        <f>G160*0.91384</f>
        <v>0</v>
      </c>
      <c r="AP160" s="21">
        <f>G160*(1-0.91384)</f>
        <v>0</v>
      </c>
      <c r="AQ160" s="23" t="s">
        <v>51</v>
      </c>
      <c r="AV160" s="21">
        <f>AW160+AX160</f>
        <v>0</v>
      </c>
      <c r="AW160" s="21">
        <f>F160*AO160</f>
        <v>0</v>
      </c>
      <c r="AX160" s="21">
        <f>F160*AP160</f>
        <v>0</v>
      </c>
      <c r="AY160" s="23" t="s">
        <v>299</v>
      </c>
      <c r="AZ160" s="23" t="s">
        <v>300</v>
      </c>
      <c r="BA160" s="10" t="s">
        <v>58</v>
      </c>
      <c r="BC160" s="21">
        <f>AW160+AX160</f>
        <v>0</v>
      </c>
      <c r="BD160" s="21">
        <f>G160/(100-BE160)*100</f>
        <v>0</v>
      </c>
      <c r="BE160" s="21">
        <v>0</v>
      </c>
      <c r="BF160" s="21">
        <f>L160</f>
        <v>0.02568</v>
      </c>
      <c r="BH160" s="21">
        <f>F160*AO160</f>
        <v>0</v>
      </c>
      <c r="BI160" s="21">
        <f>F160*AP160</f>
        <v>0</v>
      </c>
      <c r="BJ160" s="21">
        <f>F160*G160</f>
        <v>0</v>
      </c>
      <c r="BK160" s="21" t="s">
        <v>59</v>
      </c>
      <c r="BL160" s="21">
        <v>91</v>
      </c>
    </row>
    <row r="161" spans="1:14" ht="15">
      <c r="A161" s="2"/>
      <c r="B161" s="27" t="s">
        <v>138</v>
      </c>
      <c r="C161" s="639" t="s">
        <v>331</v>
      </c>
      <c r="D161" s="640"/>
      <c r="E161" s="640"/>
      <c r="F161" s="640"/>
      <c r="G161" s="640"/>
      <c r="H161" s="640"/>
      <c r="I161" s="640"/>
      <c r="J161" s="640"/>
      <c r="K161" s="640"/>
      <c r="L161" s="640"/>
      <c r="M161" s="641"/>
      <c r="N161" s="2"/>
    </row>
    <row r="162" spans="1:14" ht="15">
      <c r="A162" s="2"/>
      <c r="C162" s="24" t="s">
        <v>615</v>
      </c>
      <c r="D162" s="24" t="s">
        <v>333</v>
      </c>
      <c r="F162" s="25">
        <v>24</v>
      </c>
      <c r="M162" s="26"/>
      <c r="N162" s="2"/>
    </row>
    <row r="163" spans="1:14" ht="15">
      <c r="A163" s="2"/>
      <c r="B163" s="27" t="s">
        <v>61</v>
      </c>
      <c r="C163" s="634" t="s">
        <v>334</v>
      </c>
      <c r="D163" s="635"/>
      <c r="E163" s="635"/>
      <c r="F163" s="635"/>
      <c r="G163" s="635"/>
      <c r="H163" s="635"/>
      <c r="I163" s="635"/>
      <c r="J163" s="635"/>
      <c r="K163" s="635"/>
      <c r="L163" s="635"/>
      <c r="M163" s="636"/>
      <c r="N163" s="2"/>
    </row>
    <row r="164" spans="1:64" ht="15">
      <c r="A164" s="20" t="s">
        <v>322</v>
      </c>
      <c r="B164" s="3" t="s">
        <v>616</v>
      </c>
      <c r="C164" s="618" t="s">
        <v>532</v>
      </c>
      <c r="D164" s="608"/>
      <c r="E164" s="3" t="s">
        <v>54</v>
      </c>
      <c r="F164" s="21">
        <v>4</v>
      </c>
      <c r="G164" s="537"/>
      <c r="H164" s="21">
        <f>F164*AO164</f>
        <v>0</v>
      </c>
      <c r="I164" s="21">
        <f>F164*AP164</f>
        <v>0</v>
      </c>
      <c r="J164" s="21">
        <f>F164*G164</f>
        <v>0</v>
      </c>
      <c r="K164" s="21">
        <v>0.00108</v>
      </c>
      <c r="L164" s="21">
        <f>F164*K164</f>
        <v>0.00432</v>
      </c>
      <c r="M164" s="22" t="s">
        <v>55</v>
      </c>
      <c r="N164" s="2"/>
      <c r="Z164" s="21">
        <f>IF(AQ164="5",BJ164,0)</f>
        <v>0</v>
      </c>
      <c r="AB164" s="21">
        <f>IF(AQ164="1",BH164,0)</f>
        <v>0</v>
      </c>
      <c r="AC164" s="21">
        <f>IF(AQ164="1",BI164,0)</f>
        <v>0</v>
      </c>
      <c r="AD164" s="21">
        <f>IF(AQ164="7",BH164,0)</f>
        <v>0</v>
      </c>
      <c r="AE164" s="21">
        <f>IF(AQ164="7",BI164,0)</f>
        <v>0</v>
      </c>
      <c r="AF164" s="21">
        <f>IF(AQ164="2",BH164,0)</f>
        <v>0</v>
      </c>
      <c r="AG164" s="21">
        <f>IF(AQ164="2",BI164,0)</f>
        <v>0</v>
      </c>
      <c r="AH164" s="21">
        <f>IF(AQ164="0",BJ164,0)</f>
        <v>0</v>
      </c>
      <c r="AI164" s="10"/>
      <c r="AJ164" s="21">
        <f>IF(AN164=0,J164,0)</f>
        <v>0</v>
      </c>
      <c r="AK164" s="21">
        <f>IF(AN164=15,J164,0)</f>
        <v>0</v>
      </c>
      <c r="AL164" s="21">
        <f>IF(AN164=21,J164,0)</f>
        <v>0</v>
      </c>
      <c r="AN164" s="21">
        <v>21</v>
      </c>
      <c r="AO164" s="21">
        <f>G164*0.546594059405941</f>
        <v>0</v>
      </c>
      <c r="AP164" s="21">
        <f>G164*(1-0.546594059405941)</f>
        <v>0</v>
      </c>
      <c r="AQ164" s="23" t="s">
        <v>51</v>
      </c>
      <c r="AV164" s="21">
        <f>AW164+AX164</f>
        <v>0</v>
      </c>
      <c r="AW164" s="21">
        <f>F164*AO164</f>
        <v>0</v>
      </c>
      <c r="AX164" s="21">
        <f>F164*AP164</f>
        <v>0</v>
      </c>
      <c r="AY164" s="23" t="s">
        <v>299</v>
      </c>
      <c r="AZ164" s="23" t="s">
        <v>300</v>
      </c>
      <c r="BA164" s="10" t="s">
        <v>58</v>
      </c>
      <c r="BC164" s="21">
        <f>AW164+AX164</f>
        <v>0</v>
      </c>
      <c r="BD164" s="21">
        <f>G164/(100-BE164)*100</f>
        <v>0</v>
      </c>
      <c r="BE164" s="21">
        <v>0</v>
      </c>
      <c r="BF164" s="21">
        <f>L164</f>
        <v>0.00432</v>
      </c>
      <c r="BH164" s="21">
        <f>F164*AO164</f>
        <v>0</v>
      </c>
      <c r="BI164" s="21">
        <f>F164*AP164</f>
        <v>0</v>
      </c>
      <c r="BJ164" s="21">
        <f>F164*G164</f>
        <v>0</v>
      </c>
      <c r="BK164" s="21" t="s">
        <v>59</v>
      </c>
      <c r="BL164" s="21">
        <v>91</v>
      </c>
    </row>
    <row r="165" spans="1:14" ht="15">
      <c r="A165" s="2"/>
      <c r="B165" s="27" t="s">
        <v>138</v>
      </c>
      <c r="C165" s="639" t="s">
        <v>617</v>
      </c>
      <c r="D165" s="640"/>
      <c r="E165" s="640"/>
      <c r="F165" s="640"/>
      <c r="G165" s="640"/>
      <c r="H165" s="640"/>
      <c r="I165" s="640"/>
      <c r="J165" s="640"/>
      <c r="K165" s="640"/>
      <c r="L165" s="640"/>
      <c r="M165" s="641"/>
      <c r="N165" s="2"/>
    </row>
    <row r="166" spans="1:14" ht="15">
      <c r="A166" s="2"/>
      <c r="C166" s="24" t="s">
        <v>71</v>
      </c>
      <c r="D166" s="24" t="s">
        <v>618</v>
      </c>
      <c r="F166" s="25">
        <v>4</v>
      </c>
      <c r="M166" s="26"/>
      <c r="N166" s="2"/>
    </row>
    <row r="167" spans="1:64" ht="15">
      <c r="A167" s="20" t="s">
        <v>325</v>
      </c>
      <c r="B167" s="3" t="s">
        <v>335</v>
      </c>
      <c r="C167" s="618" t="s">
        <v>336</v>
      </c>
      <c r="D167" s="608"/>
      <c r="E167" s="3" t="s">
        <v>260</v>
      </c>
      <c r="F167" s="21">
        <v>5</v>
      </c>
      <c r="G167" s="537"/>
      <c r="H167" s="21">
        <f>F167*AO167</f>
        <v>0</v>
      </c>
      <c r="I167" s="21">
        <f>F167*AP167</f>
        <v>0</v>
      </c>
      <c r="J167" s="21">
        <f>F167*G167</f>
        <v>0</v>
      </c>
      <c r="K167" s="21">
        <v>0.1133</v>
      </c>
      <c r="L167" s="21">
        <f>F167*K167</f>
        <v>0.5665</v>
      </c>
      <c r="M167" s="22" t="s">
        <v>55</v>
      </c>
      <c r="N167" s="2"/>
      <c r="Z167" s="21">
        <f>IF(AQ167="5",BJ167,0)</f>
        <v>0</v>
      </c>
      <c r="AB167" s="21">
        <f>IF(AQ167="1",BH167,0)</f>
        <v>0</v>
      </c>
      <c r="AC167" s="21">
        <f>IF(AQ167="1",BI167,0)</f>
        <v>0</v>
      </c>
      <c r="AD167" s="21">
        <f>IF(AQ167="7",BH167,0)</f>
        <v>0</v>
      </c>
      <c r="AE167" s="21">
        <f>IF(AQ167="7",BI167,0)</f>
        <v>0</v>
      </c>
      <c r="AF167" s="21">
        <f>IF(AQ167="2",BH167,0)</f>
        <v>0</v>
      </c>
      <c r="AG167" s="21">
        <f>IF(AQ167="2",BI167,0)</f>
        <v>0</v>
      </c>
      <c r="AH167" s="21">
        <f>IF(AQ167="0",BJ167,0)</f>
        <v>0</v>
      </c>
      <c r="AI167" s="10"/>
      <c r="AJ167" s="21">
        <f>IF(AN167=0,J167,0)</f>
        <v>0</v>
      </c>
      <c r="AK167" s="21">
        <f>IF(AN167=15,J167,0)</f>
        <v>0</v>
      </c>
      <c r="AL167" s="21">
        <f>IF(AN167=21,J167,0)</f>
        <v>0</v>
      </c>
      <c r="AN167" s="21">
        <v>21</v>
      </c>
      <c r="AO167" s="21">
        <f>G167*0.628078291814947</f>
        <v>0</v>
      </c>
      <c r="AP167" s="21">
        <f>G167*(1-0.628078291814947)</f>
        <v>0</v>
      </c>
      <c r="AQ167" s="23" t="s">
        <v>51</v>
      </c>
      <c r="AV167" s="21">
        <f>AW167+AX167</f>
        <v>0</v>
      </c>
      <c r="AW167" s="21">
        <f>F167*AO167</f>
        <v>0</v>
      </c>
      <c r="AX167" s="21">
        <f>F167*AP167</f>
        <v>0</v>
      </c>
      <c r="AY167" s="23" t="s">
        <v>299</v>
      </c>
      <c r="AZ167" s="23" t="s">
        <v>300</v>
      </c>
      <c r="BA167" s="10" t="s">
        <v>58</v>
      </c>
      <c r="BC167" s="21">
        <f>AW167+AX167</f>
        <v>0</v>
      </c>
      <c r="BD167" s="21">
        <f>G167/(100-BE167)*100</f>
        <v>0</v>
      </c>
      <c r="BE167" s="21">
        <v>0</v>
      </c>
      <c r="BF167" s="21">
        <f>L167</f>
        <v>0.5665</v>
      </c>
      <c r="BH167" s="21">
        <f>F167*AO167</f>
        <v>0</v>
      </c>
      <c r="BI167" s="21">
        <f>F167*AP167</f>
        <v>0</v>
      </c>
      <c r="BJ167" s="21">
        <f>F167*G167</f>
        <v>0</v>
      </c>
      <c r="BK167" s="21" t="s">
        <v>59</v>
      </c>
      <c r="BL167" s="21">
        <v>91</v>
      </c>
    </row>
    <row r="168" spans="1:14" ht="15">
      <c r="A168" s="2"/>
      <c r="C168" s="24" t="s">
        <v>78</v>
      </c>
      <c r="D168" s="24"/>
      <c r="F168" s="25">
        <v>5</v>
      </c>
      <c r="M168" s="26"/>
      <c r="N168" s="2"/>
    </row>
    <row r="169" spans="1:14" ht="15">
      <c r="A169" s="2"/>
      <c r="B169" s="27" t="s">
        <v>61</v>
      </c>
      <c r="C169" s="634" t="s">
        <v>337</v>
      </c>
      <c r="D169" s="635"/>
      <c r="E169" s="635"/>
      <c r="F169" s="635"/>
      <c r="G169" s="635"/>
      <c r="H169" s="635"/>
      <c r="I169" s="635"/>
      <c r="J169" s="635"/>
      <c r="K169" s="635"/>
      <c r="L169" s="635"/>
      <c r="M169" s="636"/>
      <c r="N169" s="2"/>
    </row>
    <row r="170" spans="1:64" ht="15">
      <c r="A170" s="20" t="s">
        <v>328</v>
      </c>
      <c r="B170" s="3" t="s">
        <v>535</v>
      </c>
      <c r="C170" s="618" t="s">
        <v>536</v>
      </c>
      <c r="D170" s="608"/>
      <c r="E170" s="3" t="s">
        <v>260</v>
      </c>
      <c r="F170" s="21">
        <v>1</v>
      </c>
      <c r="G170" s="537"/>
      <c r="H170" s="21">
        <f>F170*AO170</f>
        <v>0</v>
      </c>
      <c r="I170" s="21">
        <f>F170*AP170</f>
        <v>0</v>
      </c>
      <c r="J170" s="21">
        <f>F170*G170</f>
        <v>0</v>
      </c>
      <c r="K170" s="21">
        <v>0.0051</v>
      </c>
      <c r="L170" s="21">
        <f>F170*K170</f>
        <v>0.0051</v>
      </c>
      <c r="M170" s="22" t="s">
        <v>55</v>
      </c>
      <c r="N170" s="2"/>
      <c r="Z170" s="21">
        <f>IF(AQ170="5",BJ170,0)</f>
        <v>0</v>
      </c>
      <c r="AB170" s="21">
        <f>IF(AQ170="1",BH170,0)</f>
        <v>0</v>
      </c>
      <c r="AC170" s="21">
        <f>IF(AQ170="1",BI170,0)</f>
        <v>0</v>
      </c>
      <c r="AD170" s="21">
        <f>IF(AQ170="7",BH170,0)</f>
        <v>0</v>
      </c>
      <c r="AE170" s="21">
        <f>IF(AQ170="7",BI170,0)</f>
        <v>0</v>
      </c>
      <c r="AF170" s="21">
        <f>IF(AQ170="2",BH170,0)</f>
        <v>0</v>
      </c>
      <c r="AG170" s="21">
        <f>IF(AQ170="2",BI170,0)</f>
        <v>0</v>
      </c>
      <c r="AH170" s="21">
        <f>IF(AQ170="0",BJ170,0)</f>
        <v>0</v>
      </c>
      <c r="AI170" s="10"/>
      <c r="AJ170" s="21">
        <f>IF(AN170=0,J170,0)</f>
        <v>0</v>
      </c>
      <c r="AK170" s="21">
        <f>IF(AN170=15,J170,0)</f>
        <v>0</v>
      </c>
      <c r="AL170" s="21">
        <f>IF(AN170=21,J170,0)</f>
        <v>0</v>
      </c>
      <c r="AN170" s="21">
        <v>21</v>
      </c>
      <c r="AO170" s="21">
        <f>G170*1</f>
        <v>0</v>
      </c>
      <c r="AP170" s="21">
        <f>G170*(1-1)</f>
        <v>0</v>
      </c>
      <c r="AQ170" s="23" t="s">
        <v>51</v>
      </c>
      <c r="AV170" s="21">
        <f>AW170+AX170</f>
        <v>0</v>
      </c>
      <c r="AW170" s="21">
        <f>F170*AO170</f>
        <v>0</v>
      </c>
      <c r="AX170" s="21">
        <f>F170*AP170</f>
        <v>0</v>
      </c>
      <c r="AY170" s="23" t="s">
        <v>299</v>
      </c>
      <c r="AZ170" s="23" t="s">
        <v>300</v>
      </c>
      <c r="BA170" s="10" t="s">
        <v>58</v>
      </c>
      <c r="BC170" s="21">
        <f>AW170+AX170</f>
        <v>0</v>
      </c>
      <c r="BD170" s="21">
        <f>G170/(100-BE170)*100</f>
        <v>0</v>
      </c>
      <c r="BE170" s="21">
        <v>0</v>
      </c>
      <c r="BF170" s="21">
        <f>L170</f>
        <v>0.0051</v>
      </c>
      <c r="BH170" s="21">
        <f>F170*AO170</f>
        <v>0</v>
      </c>
      <c r="BI170" s="21">
        <f>F170*AP170</f>
        <v>0</v>
      </c>
      <c r="BJ170" s="21">
        <f>F170*G170</f>
        <v>0</v>
      </c>
      <c r="BK170" s="21" t="s">
        <v>201</v>
      </c>
      <c r="BL170" s="21">
        <v>91</v>
      </c>
    </row>
    <row r="171" spans="1:14" ht="15">
      <c r="A171" s="2"/>
      <c r="C171" s="24" t="s">
        <v>51</v>
      </c>
      <c r="D171" s="24"/>
      <c r="F171" s="25">
        <v>1</v>
      </c>
      <c r="M171" s="26"/>
      <c r="N171" s="2"/>
    </row>
    <row r="172" spans="1:14" ht="25.65" customHeight="1">
      <c r="A172" s="2"/>
      <c r="B172" s="27" t="s">
        <v>61</v>
      </c>
      <c r="C172" s="634" t="s">
        <v>345</v>
      </c>
      <c r="D172" s="635"/>
      <c r="E172" s="635"/>
      <c r="F172" s="635"/>
      <c r="G172" s="635"/>
      <c r="H172" s="635"/>
      <c r="I172" s="635"/>
      <c r="J172" s="635"/>
      <c r="K172" s="635"/>
      <c r="L172" s="635"/>
      <c r="M172" s="636"/>
      <c r="N172" s="2"/>
    </row>
    <row r="173" spans="1:64" ht="15">
      <c r="A173" s="20" t="s">
        <v>132</v>
      </c>
      <c r="B173" s="3" t="s">
        <v>537</v>
      </c>
      <c r="C173" s="618" t="s">
        <v>538</v>
      </c>
      <c r="D173" s="608"/>
      <c r="E173" s="3" t="s">
        <v>260</v>
      </c>
      <c r="F173" s="21">
        <v>1</v>
      </c>
      <c r="G173" s="537"/>
      <c r="H173" s="21">
        <f>F173*AO173</f>
        <v>0</v>
      </c>
      <c r="I173" s="21">
        <f>F173*AP173</f>
        <v>0</v>
      </c>
      <c r="J173" s="21">
        <f>F173*G173</f>
        <v>0</v>
      </c>
      <c r="K173" s="21">
        <v>0.002</v>
      </c>
      <c r="L173" s="21">
        <f>F173*K173</f>
        <v>0.002</v>
      </c>
      <c r="M173" s="22" t="s">
        <v>55</v>
      </c>
      <c r="N173" s="2"/>
      <c r="Z173" s="21">
        <f>IF(AQ173="5",BJ173,0)</f>
        <v>0</v>
      </c>
      <c r="AB173" s="21">
        <f>IF(AQ173="1",BH173,0)</f>
        <v>0</v>
      </c>
      <c r="AC173" s="21">
        <f>IF(AQ173="1",BI173,0)</f>
        <v>0</v>
      </c>
      <c r="AD173" s="21">
        <f>IF(AQ173="7",BH173,0)</f>
        <v>0</v>
      </c>
      <c r="AE173" s="21">
        <f>IF(AQ173="7",BI173,0)</f>
        <v>0</v>
      </c>
      <c r="AF173" s="21">
        <f>IF(AQ173="2",BH173,0)</f>
        <v>0</v>
      </c>
      <c r="AG173" s="21">
        <f>IF(AQ173="2",BI173,0)</f>
        <v>0</v>
      </c>
      <c r="AH173" s="21">
        <f>IF(AQ173="0",BJ173,0)</f>
        <v>0</v>
      </c>
      <c r="AI173" s="10"/>
      <c r="AJ173" s="21">
        <f>IF(AN173=0,J173,0)</f>
        <v>0</v>
      </c>
      <c r="AK173" s="21">
        <f>IF(AN173=15,J173,0)</f>
        <v>0</v>
      </c>
      <c r="AL173" s="21">
        <f>IF(AN173=21,J173,0)</f>
        <v>0</v>
      </c>
      <c r="AN173" s="21">
        <v>21</v>
      </c>
      <c r="AO173" s="21">
        <f>G173*1</f>
        <v>0</v>
      </c>
      <c r="AP173" s="21">
        <f>G173*(1-1)</f>
        <v>0</v>
      </c>
      <c r="AQ173" s="23" t="s">
        <v>51</v>
      </c>
      <c r="AV173" s="21">
        <f>AW173+AX173</f>
        <v>0</v>
      </c>
      <c r="AW173" s="21">
        <f>F173*AO173</f>
        <v>0</v>
      </c>
      <c r="AX173" s="21">
        <f>F173*AP173</f>
        <v>0</v>
      </c>
      <c r="AY173" s="23" t="s">
        <v>299</v>
      </c>
      <c r="AZ173" s="23" t="s">
        <v>300</v>
      </c>
      <c r="BA173" s="10" t="s">
        <v>58</v>
      </c>
      <c r="BC173" s="21">
        <f>AW173+AX173</f>
        <v>0</v>
      </c>
      <c r="BD173" s="21">
        <f>G173/(100-BE173)*100</f>
        <v>0</v>
      </c>
      <c r="BE173" s="21">
        <v>0</v>
      </c>
      <c r="BF173" s="21">
        <f>L173</f>
        <v>0.002</v>
      </c>
      <c r="BH173" s="21">
        <f>F173*AO173</f>
        <v>0</v>
      </c>
      <c r="BI173" s="21">
        <f>F173*AP173</f>
        <v>0</v>
      </c>
      <c r="BJ173" s="21">
        <f>F173*G173</f>
        <v>0</v>
      </c>
      <c r="BK173" s="21" t="s">
        <v>201</v>
      </c>
      <c r="BL173" s="21">
        <v>91</v>
      </c>
    </row>
    <row r="174" spans="1:14" ht="15">
      <c r="A174" s="2"/>
      <c r="C174" s="24" t="s">
        <v>51</v>
      </c>
      <c r="D174" s="24"/>
      <c r="F174" s="25">
        <v>1</v>
      </c>
      <c r="M174" s="26"/>
      <c r="N174" s="2"/>
    </row>
    <row r="175" spans="1:14" ht="25.65" customHeight="1">
      <c r="A175" s="2"/>
      <c r="B175" s="27" t="s">
        <v>61</v>
      </c>
      <c r="C175" s="634" t="s">
        <v>539</v>
      </c>
      <c r="D175" s="635"/>
      <c r="E175" s="635"/>
      <c r="F175" s="635"/>
      <c r="G175" s="635"/>
      <c r="H175" s="635"/>
      <c r="I175" s="635"/>
      <c r="J175" s="635"/>
      <c r="K175" s="635"/>
      <c r="L175" s="635"/>
      <c r="M175" s="636"/>
      <c r="N175" s="2"/>
    </row>
    <row r="176" spans="1:64" ht="15">
      <c r="A176" s="20" t="s">
        <v>175</v>
      </c>
      <c r="B176" s="3" t="s">
        <v>338</v>
      </c>
      <c r="C176" s="618" t="s">
        <v>339</v>
      </c>
      <c r="D176" s="608"/>
      <c r="E176" s="3" t="s">
        <v>260</v>
      </c>
      <c r="F176" s="21">
        <v>5</v>
      </c>
      <c r="G176" s="537"/>
      <c r="H176" s="21">
        <f>F176*AO176</f>
        <v>0</v>
      </c>
      <c r="I176" s="21">
        <f>F176*AP176</f>
        <v>0</v>
      </c>
      <c r="J176" s="21">
        <f>F176*G176</f>
        <v>0</v>
      </c>
      <c r="K176" s="21">
        <v>0.0055</v>
      </c>
      <c r="L176" s="21">
        <f>F176*K176</f>
        <v>0.027499999999999997</v>
      </c>
      <c r="M176" s="22" t="s">
        <v>55</v>
      </c>
      <c r="N176" s="2"/>
      <c r="Z176" s="21">
        <f>IF(AQ176="5",BJ176,0)</f>
        <v>0</v>
      </c>
      <c r="AB176" s="21">
        <f>IF(AQ176="1",BH176,0)</f>
        <v>0</v>
      </c>
      <c r="AC176" s="21">
        <f>IF(AQ176="1",BI176,0)</f>
        <v>0</v>
      </c>
      <c r="AD176" s="21">
        <f>IF(AQ176="7",BH176,0)</f>
        <v>0</v>
      </c>
      <c r="AE176" s="21">
        <f>IF(AQ176="7",BI176,0)</f>
        <v>0</v>
      </c>
      <c r="AF176" s="21">
        <f>IF(AQ176="2",BH176,0)</f>
        <v>0</v>
      </c>
      <c r="AG176" s="21">
        <f>IF(AQ176="2",BI176,0)</f>
        <v>0</v>
      </c>
      <c r="AH176" s="21">
        <f>IF(AQ176="0",BJ176,0)</f>
        <v>0</v>
      </c>
      <c r="AI176" s="10"/>
      <c r="AJ176" s="21">
        <f>IF(AN176=0,J176,0)</f>
        <v>0</v>
      </c>
      <c r="AK176" s="21">
        <f>IF(AN176=15,J176,0)</f>
        <v>0</v>
      </c>
      <c r="AL176" s="21">
        <f>IF(AN176=21,J176,0)</f>
        <v>0</v>
      </c>
      <c r="AN176" s="21">
        <v>21</v>
      </c>
      <c r="AO176" s="21">
        <f>G176*1</f>
        <v>0</v>
      </c>
      <c r="AP176" s="21">
        <f>G176*(1-1)</f>
        <v>0</v>
      </c>
      <c r="AQ176" s="23" t="s">
        <v>51</v>
      </c>
      <c r="AV176" s="21">
        <f>AW176+AX176</f>
        <v>0</v>
      </c>
      <c r="AW176" s="21">
        <f>F176*AO176</f>
        <v>0</v>
      </c>
      <c r="AX176" s="21">
        <f>F176*AP176</f>
        <v>0</v>
      </c>
      <c r="AY176" s="23" t="s">
        <v>299</v>
      </c>
      <c r="AZ176" s="23" t="s">
        <v>300</v>
      </c>
      <c r="BA176" s="10" t="s">
        <v>58</v>
      </c>
      <c r="BC176" s="21">
        <f>AW176+AX176</f>
        <v>0</v>
      </c>
      <c r="BD176" s="21">
        <f>G176/(100-BE176)*100</f>
        <v>0</v>
      </c>
      <c r="BE176" s="21">
        <v>0</v>
      </c>
      <c r="BF176" s="21">
        <f>L176</f>
        <v>0.027499999999999997</v>
      </c>
      <c r="BH176" s="21">
        <f>F176*AO176</f>
        <v>0</v>
      </c>
      <c r="BI176" s="21">
        <f>F176*AP176</f>
        <v>0</v>
      </c>
      <c r="BJ176" s="21">
        <f>F176*G176</f>
        <v>0</v>
      </c>
      <c r="BK176" s="21" t="s">
        <v>201</v>
      </c>
      <c r="BL176" s="21">
        <v>91</v>
      </c>
    </row>
    <row r="177" spans="1:14" ht="15">
      <c r="A177" s="2"/>
      <c r="C177" s="24" t="s">
        <v>78</v>
      </c>
      <c r="D177" s="24"/>
      <c r="F177" s="25">
        <v>5</v>
      </c>
      <c r="M177" s="26"/>
      <c r="N177" s="2"/>
    </row>
    <row r="178" spans="1:14" ht="15">
      <c r="A178" s="2"/>
      <c r="B178" s="27" t="s">
        <v>61</v>
      </c>
      <c r="C178" s="634" t="s">
        <v>340</v>
      </c>
      <c r="D178" s="635"/>
      <c r="E178" s="635"/>
      <c r="F178" s="635"/>
      <c r="G178" s="635"/>
      <c r="H178" s="635"/>
      <c r="I178" s="635"/>
      <c r="J178" s="635"/>
      <c r="K178" s="635"/>
      <c r="L178" s="635"/>
      <c r="M178" s="636"/>
      <c r="N178" s="2"/>
    </row>
    <row r="179" spans="1:64" ht="15">
      <c r="A179" s="20" t="s">
        <v>341</v>
      </c>
      <c r="B179" s="3" t="s">
        <v>543</v>
      </c>
      <c r="C179" s="618" t="s">
        <v>544</v>
      </c>
      <c r="D179" s="608"/>
      <c r="E179" s="3" t="s">
        <v>260</v>
      </c>
      <c r="F179" s="21">
        <v>1</v>
      </c>
      <c r="G179" s="537"/>
      <c r="H179" s="21">
        <f>F179*AO179</f>
        <v>0</v>
      </c>
      <c r="I179" s="21">
        <f>F179*AP179</f>
        <v>0</v>
      </c>
      <c r="J179" s="21">
        <f>F179*G179</f>
        <v>0</v>
      </c>
      <c r="K179" s="21">
        <v>0.0051</v>
      </c>
      <c r="L179" s="21">
        <f>F179*K179</f>
        <v>0.0051</v>
      </c>
      <c r="M179" s="22" t="s">
        <v>55</v>
      </c>
      <c r="N179" s="2"/>
      <c r="Z179" s="21">
        <f>IF(AQ179="5",BJ179,0)</f>
        <v>0</v>
      </c>
      <c r="AB179" s="21">
        <f>IF(AQ179="1",BH179,0)</f>
        <v>0</v>
      </c>
      <c r="AC179" s="21">
        <f>IF(AQ179="1",BI179,0)</f>
        <v>0</v>
      </c>
      <c r="AD179" s="21">
        <f>IF(AQ179="7",BH179,0)</f>
        <v>0</v>
      </c>
      <c r="AE179" s="21">
        <f>IF(AQ179="7",BI179,0)</f>
        <v>0</v>
      </c>
      <c r="AF179" s="21">
        <f>IF(AQ179="2",BH179,0)</f>
        <v>0</v>
      </c>
      <c r="AG179" s="21">
        <f>IF(AQ179="2",BI179,0)</f>
        <v>0</v>
      </c>
      <c r="AH179" s="21">
        <f>IF(AQ179="0",BJ179,0)</f>
        <v>0</v>
      </c>
      <c r="AI179" s="10"/>
      <c r="AJ179" s="21">
        <f>IF(AN179=0,J179,0)</f>
        <v>0</v>
      </c>
      <c r="AK179" s="21">
        <f>IF(AN179=15,J179,0)</f>
        <v>0</v>
      </c>
      <c r="AL179" s="21">
        <f>IF(AN179=21,J179,0)</f>
        <v>0</v>
      </c>
      <c r="AN179" s="21">
        <v>21</v>
      </c>
      <c r="AO179" s="21">
        <f>G179*1</f>
        <v>0</v>
      </c>
      <c r="AP179" s="21">
        <f>G179*(1-1)</f>
        <v>0</v>
      </c>
      <c r="AQ179" s="23" t="s">
        <v>51</v>
      </c>
      <c r="AV179" s="21">
        <f>AW179+AX179</f>
        <v>0</v>
      </c>
      <c r="AW179" s="21">
        <f>F179*AO179</f>
        <v>0</v>
      </c>
      <c r="AX179" s="21">
        <f>F179*AP179</f>
        <v>0</v>
      </c>
      <c r="AY179" s="23" t="s">
        <v>299</v>
      </c>
      <c r="AZ179" s="23" t="s">
        <v>300</v>
      </c>
      <c r="BA179" s="10" t="s">
        <v>58</v>
      </c>
      <c r="BC179" s="21">
        <f>AW179+AX179</f>
        <v>0</v>
      </c>
      <c r="BD179" s="21">
        <f>G179/(100-BE179)*100</f>
        <v>0</v>
      </c>
      <c r="BE179" s="21">
        <v>0</v>
      </c>
      <c r="BF179" s="21">
        <f>L179</f>
        <v>0.0051</v>
      </c>
      <c r="BH179" s="21">
        <f>F179*AO179</f>
        <v>0</v>
      </c>
      <c r="BI179" s="21">
        <f>F179*AP179</f>
        <v>0</v>
      </c>
      <c r="BJ179" s="21">
        <f>F179*G179</f>
        <v>0</v>
      </c>
      <c r="BK179" s="21" t="s">
        <v>201</v>
      </c>
      <c r="BL179" s="21">
        <v>91</v>
      </c>
    </row>
    <row r="180" spans="1:14" ht="15">
      <c r="A180" s="2"/>
      <c r="C180" s="24" t="s">
        <v>51</v>
      </c>
      <c r="D180" s="24"/>
      <c r="F180" s="25">
        <v>1</v>
      </c>
      <c r="M180" s="26"/>
      <c r="N180" s="2"/>
    </row>
    <row r="181" spans="1:14" ht="51.45" customHeight="1">
      <c r="A181" s="2"/>
      <c r="B181" s="27" t="s">
        <v>61</v>
      </c>
      <c r="C181" s="634" t="s">
        <v>2478</v>
      </c>
      <c r="D181" s="635"/>
      <c r="E181" s="635"/>
      <c r="F181" s="635"/>
      <c r="G181" s="635"/>
      <c r="H181" s="635"/>
      <c r="I181" s="635"/>
      <c r="J181" s="635"/>
      <c r="K181" s="635"/>
      <c r="L181" s="635"/>
      <c r="M181" s="636"/>
      <c r="N181" s="2"/>
    </row>
    <row r="182" spans="1:14" ht="15">
      <c r="A182" s="2"/>
      <c r="C182" s="634" t="s">
        <v>545</v>
      </c>
      <c r="D182" s="635"/>
      <c r="E182" s="635"/>
      <c r="F182" s="635"/>
      <c r="G182" s="635"/>
      <c r="H182" s="635"/>
      <c r="I182" s="635"/>
      <c r="J182" s="635"/>
      <c r="K182" s="635"/>
      <c r="L182" s="635"/>
      <c r="M182" s="636"/>
      <c r="N182" s="2"/>
    </row>
    <row r="183" spans="1:64" ht="15">
      <c r="A183" s="20" t="s">
        <v>185</v>
      </c>
      <c r="B183" s="3" t="s">
        <v>349</v>
      </c>
      <c r="C183" s="618" t="s">
        <v>350</v>
      </c>
      <c r="D183" s="608"/>
      <c r="E183" s="3" t="s">
        <v>260</v>
      </c>
      <c r="F183" s="21">
        <v>1</v>
      </c>
      <c r="G183" s="537"/>
      <c r="H183" s="21">
        <f>F183*AO183</f>
        <v>0</v>
      </c>
      <c r="I183" s="21">
        <f>F183*AP183</f>
        <v>0</v>
      </c>
      <c r="J183" s="21">
        <f>F183*G183</f>
        <v>0</v>
      </c>
      <c r="K183" s="21">
        <v>0.0051</v>
      </c>
      <c r="L183" s="21">
        <f>F183*K183</f>
        <v>0.0051</v>
      </c>
      <c r="M183" s="22" t="s">
        <v>55</v>
      </c>
      <c r="N183" s="2"/>
      <c r="Z183" s="21">
        <f>IF(AQ183="5",BJ183,0)</f>
        <v>0</v>
      </c>
      <c r="AB183" s="21">
        <f>IF(AQ183="1",BH183,0)</f>
        <v>0</v>
      </c>
      <c r="AC183" s="21">
        <f>IF(AQ183="1",BI183,0)</f>
        <v>0</v>
      </c>
      <c r="AD183" s="21">
        <f>IF(AQ183="7",BH183,0)</f>
        <v>0</v>
      </c>
      <c r="AE183" s="21">
        <f>IF(AQ183="7",BI183,0)</f>
        <v>0</v>
      </c>
      <c r="AF183" s="21">
        <f>IF(AQ183="2",BH183,0)</f>
        <v>0</v>
      </c>
      <c r="AG183" s="21">
        <f>IF(AQ183="2",BI183,0)</f>
        <v>0</v>
      </c>
      <c r="AH183" s="21">
        <f>IF(AQ183="0",BJ183,0)</f>
        <v>0</v>
      </c>
      <c r="AI183" s="10"/>
      <c r="AJ183" s="21">
        <f>IF(AN183=0,J183,0)</f>
        <v>0</v>
      </c>
      <c r="AK183" s="21">
        <f>IF(AN183=15,J183,0)</f>
        <v>0</v>
      </c>
      <c r="AL183" s="21">
        <f>IF(AN183=21,J183,0)</f>
        <v>0</v>
      </c>
      <c r="AN183" s="21">
        <v>21</v>
      </c>
      <c r="AO183" s="21">
        <f>G183*1</f>
        <v>0</v>
      </c>
      <c r="AP183" s="21">
        <f>G183*(1-1)</f>
        <v>0</v>
      </c>
      <c r="AQ183" s="23" t="s">
        <v>51</v>
      </c>
      <c r="AV183" s="21">
        <f>AW183+AX183</f>
        <v>0</v>
      </c>
      <c r="AW183" s="21">
        <f>F183*AO183</f>
        <v>0</v>
      </c>
      <c r="AX183" s="21">
        <f>F183*AP183</f>
        <v>0</v>
      </c>
      <c r="AY183" s="23" t="s">
        <v>299</v>
      </c>
      <c r="AZ183" s="23" t="s">
        <v>300</v>
      </c>
      <c r="BA183" s="10" t="s">
        <v>58</v>
      </c>
      <c r="BC183" s="21">
        <f>AW183+AX183</f>
        <v>0</v>
      </c>
      <c r="BD183" s="21">
        <f>G183/(100-BE183)*100</f>
        <v>0</v>
      </c>
      <c r="BE183" s="21">
        <v>0</v>
      </c>
      <c r="BF183" s="21">
        <f>L183</f>
        <v>0.0051</v>
      </c>
      <c r="BH183" s="21">
        <f>F183*AO183</f>
        <v>0</v>
      </c>
      <c r="BI183" s="21">
        <f>F183*AP183</f>
        <v>0</v>
      </c>
      <c r="BJ183" s="21">
        <f>F183*G183</f>
        <v>0</v>
      </c>
      <c r="BK183" s="21" t="s">
        <v>201</v>
      </c>
      <c r="BL183" s="21">
        <v>91</v>
      </c>
    </row>
    <row r="184" spans="1:14" ht="15">
      <c r="A184" s="2"/>
      <c r="C184" s="24" t="s">
        <v>51</v>
      </c>
      <c r="D184" s="24"/>
      <c r="F184" s="25">
        <v>1</v>
      </c>
      <c r="M184" s="26"/>
      <c r="N184" s="2"/>
    </row>
    <row r="185" spans="1:14" ht="25.65" customHeight="1">
      <c r="A185" s="2"/>
      <c r="B185" s="27" t="s">
        <v>61</v>
      </c>
      <c r="C185" s="634" t="s">
        <v>351</v>
      </c>
      <c r="D185" s="635"/>
      <c r="E185" s="635"/>
      <c r="F185" s="635"/>
      <c r="G185" s="635"/>
      <c r="H185" s="635"/>
      <c r="I185" s="635"/>
      <c r="J185" s="635"/>
      <c r="K185" s="635"/>
      <c r="L185" s="635"/>
      <c r="M185" s="636"/>
      <c r="N185" s="2"/>
    </row>
    <row r="186" spans="1:64" ht="15">
      <c r="A186" s="20" t="s">
        <v>348</v>
      </c>
      <c r="B186" s="3" t="s">
        <v>619</v>
      </c>
      <c r="C186" s="618" t="s">
        <v>620</v>
      </c>
      <c r="D186" s="608"/>
      <c r="E186" s="3" t="s">
        <v>260</v>
      </c>
      <c r="F186" s="21">
        <v>2</v>
      </c>
      <c r="G186" s="537"/>
      <c r="H186" s="21">
        <f>F186*AO186</f>
        <v>0</v>
      </c>
      <c r="I186" s="21">
        <f>F186*AP186</f>
        <v>0</v>
      </c>
      <c r="J186" s="21">
        <f>F186*G186</f>
        <v>0</v>
      </c>
      <c r="K186" s="21">
        <v>0.0051</v>
      </c>
      <c r="L186" s="21">
        <f>F186*K186</f>
        <v>0.0102</v>
      </c>
      <c r="M186" s="22" t="s">
        <v>55</v>
      </c>
      <c r="N186" s="2"/>
      <c r="Z186" s="21">
        <f>IF(AQ186="5",BJ186,0)</f>
        <v>0</v>
      </c>
      <c r="AB186" s="21">
        <f>IF(AQ186="1",BH186,0)</f>
        <v>0</v>
      </c>
      <c r="AC186" s="21">
        <f>IF(AQ186="1",BI186,0)</f>
        <v>0</v>
      </c>
      <c r="AD186" s="21">
        <f>IF(AQ186="7",BH186,0)</f>
        <v>0</v>
      </c>
      <c r="AE186" s="21">
        <f>IF(AQ186="7",BI186,0)</f>
        <v>0</v>
      </c>
      <c r="AF186" s="21">
        <f>IF(AQ186="2",BH186,0)</f>
        <v>0</v>
      </c>
      <c r="AG186" s="21">
        <f>IF(AQ186="2",BI186,0)</f>
        <v>0</v>
      </c>
      <c r="AH186" s="21">
        <f>IF(AQ186="0",BJ186,0)</f>
        <v>0</v>
      </c>
      <c r="AI186" s="10"/>
      <c r="AJ186" s="21">
        <f>IF(AN186=0,J186,0)</f>
        <v>0</v>
      </c>
      <c r="AK186" s="21">
        <f>IF(AN186=15,J186,0)</f>
        <v>0</v>
      </c>
      <c r="AL186" s="21">
        <f>IF(AN186=21,J186,0)</f>
        <v>0</v>
      </c>
      <c r="AN186" s="21">
        <v>21</v>
      </c>
      <c r="AO186" s="21">
        <f>G186*1</f>
        <v>0</v>
      </c>
      <c r="AP186" s="21">
        <f>G186*(1-1)</f>
        <v>0</v>
      </c>
      <c r="AQ186" s="23" t="s">
        <v>51</v>
      </c>
      <c r="AV186" s="21">
        <f>AW186+AX186</f>
        <v>0</v>
      </c>
      <c r="AW186" s="21">
        <f>F186*AO186</f>
        <v>0</v>
      </c>
      <c r="AX186" s="21">
        <f>F186*AP186</f>
        <v>0</v>
      </c>
      <c r="AY186" s="23" t="s">
        <v>299</v>
      </c>
      <c r="AZ186" s="23" t="s">
        <v>300</v>
      </c>
      <c r="BA186" s="10" t="s">
        <v>58</v>
      </c>
      <c r="BC186" s="21">
        <f>AW186+AX186</f>
        <v>0</v>
      </c>
      <c r="BD186" s="21">
        <f>G186/(100-BE186)*100</f>
        <v>0</v>
      </c>
      <c r="BE186" s="21">
        <v>0</v>
      </c>
      <c r="BF186" s="21">
        <f>L186</f>
        <v>0.0102</v>
      </c>
      <c r="BH186" s="21">
        <f>F186*AO186</f>
        <v>0</v>
      </c>
      <c r="BI186" s="21">
        <f>F186*AP186</f>
        <v>0</v>
      </c>
      <c r="BJ186" s="21">
        <f>F186*G186</f>
        <v>0</v>
      </c>
      <c r="BK186" s="21" t="s">
        <v>201</v>
      </c>
      <c r="BL186" s="21">
        <v>91</v>
      </c>
    </row>
    <row r="187" spans="1:14" ht="15">
      <c r="A187" s="2"/>
      <c r="C187" s="24" t="s">
        <v>63</v>
      </c>
      <c r="D187" s="24"/>
      <c r="F187" s="25">
        <v>2</v>
      </c>
      <c r="M187" s="26"/>
      <c r="N187" s="2"/>
    </row>
    <row r="188" spans="1:14" ht="25.65" customHeight="1">
      <c r="A188" s="2"/>
      <c r="B188" s="27" t="s">
        <v>61</v>
      </c>
      <c r="C188" s="634" t="s">
        <v>621</v>
      </c>
      <c r="D188" s="635"/>
      <c r="E188" s="635"/>
      <c r="F188" s="635"/>
      <c r="G188" s="635"/>
      <c r="H188" s="635"/>
      <c r="I188" s="635"/>
      <c r="J188" s="635"/>
      <c r="K188" s="635"/>
      <c r="L188" s="635"/>
      <c r="M188" s="636"/>
      <c r="N188" s="2"/>
    </row>
    <row r="189" spans="1:64" ht="15">
      <c r="A189" s="20" t="s">
        <v>352</v>
      </c>
      <c r="B189" s="3" t="s">
        <v>364</v>
      </c>
      <c r="C189" s="618" t="s">
        <v>365</v>
      </c>
      <c r="D189" s="608"/>
      <c r="E189" s="3" t="s">
        <v>260</v>
      </c>
      <c r="F189" s="21">
        <v>1</v>
      </c>
      <c r="G189" s="537"/>
      <c r="H189" s="21">
        <f>F189*AO189</f>
        <v>0</v>
      </c>
      <c r="I189" s="21">
        <f>F189*AP189</f>
        <v>0</v>
      </c>
      <c r="J189" s="21">
        <f>F189*G189</f>
        <v>0</v>
      </c>
      <c r="K189" s="21">
        <v>0</v>
      </c>
      <c r="L189" s="21">
        <f>F189*K189</f>
        <v>0</v>
      </c>
      <c r="M189" s="22" t="s">
        <v>55</v>
      </c>
      <c r="N189" s="2"/>
      <c r="Z189" s="21">
        <f>IF(AQ189="5",BJ189,0)</f>
        <v>0</v>
      </c>
      <c r="AB189" s="21">
        <f>IF(AQ189="1",BH189,0)</f>
        <v>0</v>
      </c>
      <c r="AC189" s="21">
        <f>IF(AQ189="1",BI189,0)</f>
        <v>0</v>
      </c>
      <c r="AD189" s="21">
        <f>IF(AQ189="7",BH189,0)</f>
        <v>0</v>
      </c>
      <c r="AE189" s="21">
        <f>IF(AQ189="7",BI189,0)</f>
        <v>0</v>
      </c>
      <c r="AF189" s="21">
        <f>IF(AQ189="2",BH189,0)</f>
        <v>0</v>
      </c>
      <c r="AG189" s="21">
        <f>IF(AQ189="2",BI189,0)</f>
        <v>0</v>
      </c>
      <c r="AH189" s="21">
        <f>IF(AQ189="0",BJ189,0)</f>
        <v>0</v>
      </c>
      <c r="AI189" s="10"/>
      <c r="AJ189" s="21">
        <f>IF(AN189=0,J189,0)</f>
        <v>0</v>
      </c>
      <c r="AK189" s="21">
        <f>IF(AN189=15,J189,0)</f>
        <v>0</v>
      </c>
      <c r="AL189" s="21">
        <f>IF(AN189=21,J189,0)</f>
        <v>0</v>
      </c>
      <c r="AN189" s="21">
        <v>21</v>
      </c>
      <c r="AO189" s="21">
        <f>G189*0.642147039176392</f>
        <v>0</v>
      </c>
      <c r="AP189" s="21">
        <f>G189*(1-0.642147039176392)</f>
        <v>0</v>
      </c>
      <c r="AQ189" s="23" t="s">
        <v>51</v>
      </c>
      <c r="AV189" s="21">
        <f>AW189+AX189</f>
        <v>0</v>
      </c>
      <c r="AW189" s="21">
        <f>F189*AO189</f>
        <v>0</v>
      </c>
      <c r="AX189" s="21">
        <f>F189*AP189</f>
        <v>0</v>
      </c>
      <c r="AY189" s="23" t="s">
        <v>299</v>
      </c>
      <c r="AZ189" s="23" t="s">
        <v>300</v>
      </c>
      <c r="BA189" s="10" t="s">
        <v>58</v>
      </c>
      <c r="BC189" s="21">
        <f>AW189+AX189</f>
        <v>0</v>
      </c>
      <c r="BD189" s="21">
        <f>G189/(100-BE189)*100</f>
        <v>0</v>
      </c>
      <c r="BE189" s="21">
        <v>0</v>
      </c>
      <c r="BF189" s="21">
        <f>L189</f>
        <v>0</v>
      </c>
      <c r="BH189" s="21">
        <f>F189*AO189</f>
        <v>0</v>
      </c>
      <c r="BI189" s="21">
        <f>F189*AP189</f>
        <v>0</v>
      </c>
      <c r="BJ189" s="21">
        <f>F189*G189</f>
        <v>0</v>
      </c>
      <c r="BK189" s="21" t="s">
        <v>59</v>
      </c>
      <c r="BL189" s="21">
        <v>91</v>
      </c>
    </row>
    <row r="190" spans="1:14" ht="15">
      <c r="A190" s="2"/>
      <c r="C190" s="24" t="s">
        <v>51</v>
      </c>
      <c r="D190" s="24"/>
      <c r="F190" s="25">
        <v>1</v>
      </c>
      <c r="M190" s="26"/>
      <c r="N190" s="2"/>
    </row>
    <row r="191" spans="1:14" ht="15">
      <c r="A191" s="2"/>
      <c r="B191" s="27" t="s">
        <v>61</v>
      </c>
      <c r="C191" s="634" t="s">
        <v>366</v>
      </c>
      <c r="D191" s="635"/>
      <c r="E191" s="635"/>
      <c r="F191" s="635"/>
      <c r="G191" s="635"/>
      <c r="H191" s="635"/>
      <c r="I191" s="635"/>
      <c r="J191" s="635"/>
      <c r="K191" s="635"/>
      <c r="L191" s="635"/>
      <c r="M191" s="636"/>
      <c r="N191" s="2"/>
    </row>
    <row r="192" spans="1:47" ht="15">
      <c r="A192" s="41"/>
      <c r="B192" s="42" t="s">
        <v>375</v>
      </c>
      <c r="C192" s="637" t="s">
        <v>376</v>
      </c>
      <c r="D192" s="638"/>
      <c r="E192" s="43" t="s">
        <v>4</v>
      </c>
      <c r="F192" s="43" t="s">
        <v>4</v>
      </c>
      <c r="G192" s="43" t="s">
        <v>4</v>
      </c>
      <c r="H192" s="44">
        <f>SUM(H193:H193)</f>
        <v>0</v>
      </c>
      <c r="I192" s="44">
        <f>SUM(I193:I193)</f>
        <v>0</v>
      </c>
      <c r="J192" s="44">
        <f>SUM(J193:J193)</f>
        <v>0</v>
      </c>
      <c r="K192" s="45"/>
      <c r="L192" s="44">
        <f>SUM(L193:L193)</f>
        <v>0</v>
      </c>
      <c r="M192" s="46"/>
      <c r="N192" s="2"/>
      <c r="AI192" s="10"/>
      <c r="AS192" s="19">
        <f>SUM(AJ193:AJ193)</f>
        <v>0</v>
      </c>
      <c r="AT192" s="19">
        <f>SUM(AK193:AK193)</f>
        <v>0</v>
      </c>
      <c r="AU192" s="19">
        <f>SUM(AL193:AL193)</f>
        <v>0</v>
      </c>
    </row>
    <row r="193" spans="1:64" ht="15">
      <c r="A193" s="28" t="s">
        <v>356</v>
      </c>
      <c r="B193" s="29" t="s">
        <v>395</v>
      </c>
      <c r="C193" s="642" t="s">
        <v>396</v>
      </c>
      <c r="D193" s="643"/>
      <c r="E193" s="29" t="s">
        <v>125</v>
      </c>
      <c r="F193" s="30">
        <v>1936.26421</v>
      </c>
      <c r="G193" s="538"/>
      <c r="H193" s="30">
        <f>F193*AO193</f>
        <v>0</v>
      </c>
      <c r="I193" s="30">
        <f>F193*AP193</f>
        <v>0</v>
      </c>
      <c r="J193" s="30">
        <f>F193*G193</f>
        <v>0</v>
      </c>
      <c r="K193" s="30">
        <v>0</v>
      </c>
      <c r="L193" s="30">
        <f>F193*K193</f>
        <v>0</v>
      </c>
      <c r="M193" s="31" t="s">
        <v>55</v>
      </c>
      <c r="N193" s="2"/>
      <c r="Z193" s="21">
        <f>IF(AQ193="5",BJ193,0)</f>
        <v>0</v>
      </c>
      <c r="AB193" s="21">
        <f>IF(AQ193="1",BH193,0)</f>
        <v>0</v>
      </c>
      <c r="AC193" s="21">
        <f>IF(AQ193="1",BI193,0)</f>
        <v>0</v>
      </c>
      <c r="AD193" s="21">
        <f>IF(AQ193="7",BH193,0)</f>
        <v>0</v>
      </c>
      <c r="AE193" s="21">
        <f>IF(AQ193="7",BI193,0)</f>
        <v>0</v>
      </c>
      <c r="AF193" s="21">
        <f>IF(AQ193="2",BH193,0)</f>
        <v>0</v>
      </c>
      <c r="AG193" s="21">
        <f>IF(AQ193="2",BI193,0)</f>
        <v>0</v>
      </c>
      <c r="AH193" s="21">
        <f>IF(AQ193="0",BJ193,0)</f>
        <v>0</v>
      </c>
      <c r="AI193" s="10"/>
      <c r="AJ193" s="21">
        <f>IF(AN193=0,J193,0)</f>
        <v>0</v>
      </c>
      <c r="AK193" s="21">
        <f>IF(AN193=15,J193,0)</f>
        <v>0</v>
      </c>
      <c r="AL193" s="21">
        <f>IF(AN193=21,J193,0)</f>
        <v>0</v>
      </c>
      <c r="AN193" s="21">
        <v>21</v>
      </c>
      <c r="AO193" s="21">
        <f>G193*0</f>
        <v>0</v>
      </c>
      <c r="AP193" s="21">
        <f>G193*(1-0)</f>
        <v>0</v>
      </c>
      <c r="AQ193" s="23" t="s">
        <v>78</v>
      </c>
      <c r="AV193" s="21">
        <f>AW193+AX193</f>
        <v>0</v>
      </c>
      <c r="AW193" s="21">
        <f>F193*AO193</f>
        <v>0</v>
      </c>
      <c r="AX193" s="21">
        <f>F193*AP193</f>
        <v>0</v>
      </c>
      <c r="AY193" s="23" t="s">
        <v>380</v>
      </c>
      <c r="AZ193" s="23" t="s">
        <v>300</v>
      </c>
      <c r="BA193" s="10" t="s">
        <v>58</v>
      </c>
      <c r="BC193" s="21">
        <f>AW193+AX193</f>
        <v>0</v>
      </c>
      <c r="BD193" s="21">
        <f>G193/(100-BE193)*100</f>
        <v>0</v>
      </c>
      <c r="BE193" s="21">
        <v>0</v>
      </c>
      <c r="BF193" s="21">
        <f>L193</f>
        <v>0</v>
      </c>
      <c r="BH193" s="21">
        <f>F193*AO193</f>
        <v>0</v>
      </c>
      <c r="BI193" s="21">
        <f>F193*AP193</f>
        <v>0</v>
      </c>
      <c r="BJ193" s="21">
        <f>F193*G193</f>
        <v>0</v>
      </c>
      <c r="BK193" s="21" t="s">
        <v>59</v>
      </c>
      <c r="BL193" s="21" t="s">
        <v>375</v>
      </c>
    </row>
    <row r="194" spans="1:13" ht="15">
      <c r="A194" s="32"/>
      <c r="B194" s="32"/>
      <c r="C194" s="32"/>
      <c r="D194" s="32"/>
      <c r="E194" s="32"/>
      <c r="F194" s="32"/>
      <c r="G194" s="32"/>
      <c r="H194" s="644" t="s">
        <v>397</v>
      </c>
      <c r="I194" s="610"/>
      <c r="J194" s="33">
        <f>J12+J21+J26+J33+J37+J42+J51+J75+J80+J117+J136+J192</f>
        <v>0</v>
      </c>
      <c r="K194" s="32"/>
      <c r="L194" s="32"/>
      <c r="M194" s="32"/>
    </row>
    <row r="195" ht="11.25" customHeight="1">
      <c r="A195" s="34" t="s">
        <v>398</v>
      </c>
    </row>
    <row r="196" spans="1:13" ht="15">
      <c r="A196" s="617"/>
      <c r="B196" s="608"/>
      <c r="C196" s="608"/>
      <c r="D196" s="608"/>
      <c r="E196" s="608"/>
      <c r="F196" s="608"/>
      <c r="G196" s="608"/>
      <c r="H196" s="608"/>
      <c r="I196" s="608"/>
      <c r="J196" s="608"/>
      <c r="K196" s="608"/>
      <c r="L196" s="608"/>
      <c r="M196" s="608"/>
    </row>
  </sheetData>
  <sheetProtection algorithmName="SHA-512" hashValue="OlsGH4Ms1Fh9hhsjjIAXobl216/ALGF/5YqOtdPfWp75ZpUQ5R+3t2klbC8uetcYGWNNgB027kFAxyRzJ/9eFA==" saltValue="5TzH++drZPWwY9M0N0I3ng==" spinCount="100000" sheet="1" objects="1" scenarios="1"/>
  <mergeCells count="143">
    <mergeCell ref="C192:D192"/>
    <mergeCell ref="C193:D193"/>
    <mergeCell ref="H194:I194"/>
    <mergeCell ref="A196:M196"/>
    <mergeCell ref="C183:D183"/>
    <mergeCell ref="C185:M185"/>
    <mergeCell ref="C186:D186"/>
    <mergeCell ref="C188:M188"/>
    <mergeCell ref="C189:D189"/>
    <mergeCell ref="C191:M191"/>
    <mergeCell ref="C175:M175"/>
    <mergeCell ref="C176:D176"/>
    <mergeCell ref="C178:M178"/>
    <mergeCell ref="C179:D179"/>
    <mergeCell ref="C181:M181"/>
    <mergeCell ref="C182:M182"/>
    <mergeCell ref="C165:M165"/>
    <mergeCell ref="C167:D167"/>
    <mergeCell ref="C169:M169"/>
    <mergeCell ref="C170:D170"/>
    <mergeCell ref="C172:M172"/>
    <mergeCell ref="C173:D173"/>
    <mergeCell ref="C157:D157"/>
    <mergeCell ref="C159:M159"/>
    <mergeCell ref="C160:D160"/>
    <mergeCell ref="C161:M161"/>
    <mergeCell ref="C163:M163"/>
    <mergeCell ref="C164:D164"/>
    <mergeCell ref="C147:M147"/>
    <mergeCell ref="C148:D148"/>
    <mergeCell ref="C151:D151"/>
    <mergeCell ref="C153:M153"/>
    <mergeCell ref="C154:D154"/>
    <mergeCell ref="C156:M156"/>
    <mergeCell ref="C136:D136"/>
    <mergeCell ref="C137:D137"/>
    <mergeCell ref="C139:M139"/>
    <mergeCell ref="C140:D140"/>
    <mergeCell ref="C143:M143"/>
    <mergeCell ref="C144:D144"/>
    <mergeCell ref="C125:D125"/>
    <mergeCell ref="C127:D127"/>
    <mergeCell ref="C129:D129"/>
    <mergeCell ref="C131:D131"/>
    <mergeCell ref="C133:M133"/>
    <mergeCell ref="C134:D134"/>
    <mergeCell ref="C115:D115"/>
    <mergeCell ref="C117:D117"/>
    <mergeCell ref="C118:D118"/>
    <mergeCell ref="C120:M120"/>
    <mergeCell ref="C121:D121"/>
    <mergeCell ref="C123:D123"/>
    <mergeCell ref="C105:M105"/>
    <mergeCell ref="C106:D106"/>
    <mergeCell ref="C109:D109"/>
    <mergeCell ref="C111:M111"/>
    <mergeCell ref="C112:D112"/>
    <mergeCell ref="C114:M114"/>
    <mergeCell ref="C94:D94"/>
    <mergeCell ref="C96:M96"/>
    <mergeCell ref="C97:D97"/>
    <mergeCell ref="C99:D99"/>
    <mergeCell ref="C101:M101"/>
    <mergeCell ref="C102:D102"/>
    <mergeCell ref="C81:D81"/>
    <mergeCell ref="C83:M83"/>
    <mergeCell ref="C84:D84"/>
    <mergeCell ref="C87:D87"/>
    <mergeCell ref="C90:D90"/>
    <mergeCell ref="C93:M93"/>
    <mergeCell ref="C71:D71"/>
    <mergeCell ref="C73:D73"/>
    <mergeCell ref="C75:D75"/>
    <mergeCell ref="C76:D76"/>
    <mergeCell ref="C78:D78"/>
    <mergeCell ref="C80:D80"/>
    <mergeCell ref="C61:D61"/>
    <mergeCell ref="C62:M62"/>
    <mergeCell ref="C64:D64"/>
    <mergeCell ref="C65:M65"/>
    <mergeCell ref="C67:D67"/>
    <mergeCell ref="C69:D69"/>
    <mergeCell ref="C52:D52"/>
    <mergeCell ref="C53:M53"/>
    <mergeCell ref="C55:D55"/>
    <mergeCell ref="C56:M56"/>
    <mergeCell ref="C58:D58"/>
    <mergeCell ref="C59:M59"/>
    <mergeCell ref="C42:D42"/>
    <mergeCell ref="C43:D43"/>
    <mergeCell ref="C45:D45"/>
    <mergeCell ref="C47:D47"/>
    <mergeCell ref="C50:M50"/>
    <mergeCell ref="C51:D51"/>
    <mergeCell ref="C33:D33"/>
    <mergeCell ref="C34:D34"/>
    <mergeCell ref="C36:M36"/>
    <mergeCell ref="C37:D37"/>
    <mergeCell ref="C38:D38"/>
    <mergeCell ref="C40:D40"/>
    <mergeCell ref="C24:D24"/>
    <mergeCell ref="C26:D26"/>
    <mergeCell ref="C27:D27"/>
    <mergeCell ref="C29:M29"/>
    <mergeCell ref="C30:D30"/>
    <mergeCell ref="C32:M32"/>
    <mergeCell ref="C15:M15"/>
    <mergeCell ref="C16:D16"/>
    <mergeCell ref="C18:D18"/>
    <mergeCell ref="C20:M20"/>
    <mergeCell ref="C21:D21"/>
    <mergeCell ref="C22:D22"/>
    <mergeCell ref="C10:D10"/>
    <mergeCell ref="H10:J10"/>
    <mergeCell ref="K10:L10"/>
    <mergeCell ref="C11:D11"/>
    <mergeCell ref="C12:D12"/>
    <mergeCell ref="C13:D13"/>
    <mergeCell ref="A8:B9"/>
    <mergeCell ref="C8:D9"/>
    <mergeCell ref="E8:F9"/>
    <mergeCell ref="G8:G9"/>
    <mergeCell ref="H8:H9"/>
    <mergeCell ref="I8:M9"/>
    <mergeCell ref="A6:B7"/>
    <mergeCell ref="C6:D7"/>
    <mergeCell ref="E6:F7"/>
    <mergeCell ref="G6:G7"/>
    <mergeCell ref="H6:H7"/>
    <mergeCell ref="I6:M7"/>
    <mergeCell ref="A4:B5"/>
    <mergeCell ref="C4:D5"/>
    <mergeCell ref="E4:F5"/>
    <mergeCell ref="G4:G5"/>
    <mergeCell ref="H4:H5"/>
    <mergeCell ref="I4:M5"/>
    <mergeCell ref="A1:M1"/>
    <mergeCell ref="A2:B3"/>
    <mergeCell ref="C2:D3"/>
    <mergeCell ref="E2:F3"/>
    <mergeCell ref="G2:G3"/>
    <mergeCell ref="H2:H3"/>
    <mergeCell ref="I2:M3"/>
  </mergeCells>
  <printOptions horizontalCentered="1"/>
  <pageMargins left="0.7086614173228347" right="0.7086614173228347" top="0.7874015748031497" bottom="0.7874015748031497" header="0.31496062992125984" footer="0.31496062992125984"/>
  <pageSetup fitToHeight="100" horizontalDpi="600" verticalDpi="600" orientation="landscape" paperSize="9" scale="74" r:id="rId1"/>
  <headerFooter>
    <oddFooter>&amp;CStrana &amp;P z &amp;N</oddFooter>
  </headerFooter>
  <rowBreaks count="3" manualBreakCount="3">
    <brk id="41" max="16383" man="1"/>
    <brk id="86" max="16383" man="1"/>
    <brk id="1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Kadlec</dc:creator>
  <cp:keywords/>
  <dc:description/>
  <cp:lastModifiedBy>Kadlec</cp:lastModifiedBy>
  <cp:lastPrinted>2023-05-05T08:20:14Z</cp:lastPrinted>
  <dcterms:created xsi:type="dcterms:W3CDTF">2022-09-08T10:52:43Z</dcterms:created>
  <dcterms:modified xsi:type="dcterms:W3CDTF">2024-04-29T10:46:54Z</dcterms:modified>
  <cp:category/>
  <cp:version/>
  <cp:contentType/>
  <cp:contentStatus/>
</cp:coreProperties>
</file>